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antz\Dropbox (ISI Online)\Mailroom\Material Orders\"/>
    </mc:Choice>
  </mc:AlternateContent>
  <xr:revisionPtr revIDLastSave="0" documentId="13_ncr:1_{742ADDA3-798B-4420-ABF5-F6D3839400F5}" xr6:coauthVersionLast="36" xr6:coauthVersionMax="36" xr10:uidLastSave="{00000000-0000-0000-0000-000000000000}"/>
  <bookViews>
    <workbookView xWindow="4500" yWindow="-15" windowWidth="14730" windowHeight="10710" xr2:uid="{00000000-000D-0000-FFFF-FFFF00000000}"/>
  </bookViews>
  <sheets>
    <sheet name="mat order" sheetId="4" r:id="rId1"/>
    <sheet name="RETAIL FORM" sheetId="11" r:id="rId2"/>
    <sheet name="New Empl" sheetId="9" r:id="rId3"/>
    <sheet name="price sheet" sheetId="3" r:id="rId4"/>
    <sheet name="goods returned" sheetId="5" state="hidden" r:id="rId5"/>
    <sheet name="Tax table" sheetId="7" state="hidden" r:id="rId6"/>
    <sheet name="Sheet1" sheetId="10" r:id="rId7"/>
  </sheets>
  <definedNames>
    <definedName name="carriers">'mat order'!$M$140:$M$143</definedName>
    <definedName name="_xlnm.Print_Area" localSheetId="4">'goods returned'!$A$1:$H$218</definedName>
    <definedName name="_xlnm.Print_Area" localSheetId="0">'mat order'!$A$1:$J$157</definedName>
    <definedName name="_xlnm.Print_Area" localSheetId="2">'New Empl'!$A$1:$J$64</definedName>
    <definedName name="_xlnm.Print_Area" localSheetId="1">'RETAIL FORM'!$A$1:$J$138</definedName>
    <definedName name="_xlnm.Print_Titles" localSheetId="0">'mat order'!$6:$13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9" i="4" l="1"/>
  <c r="P99" i="4"/>
  <c r="O99" i="4"/>
  <c r="N99" i="4"/>
  <c r="F99" i="4"/>
  <c r="J99" i="4"/>
  <c r="H99" i="4"/>
  <c r="I146" i="3"/>
  <c r="L121" i="3"/>
  <c r="I121" i="3"/>
  <c r="D121" i="3"/>
  <c r="F127" i="4"/>
  <c r="J127" i="4"/>
  <c r="I147" i="3"/>
  <c r="D147" i="3"/>
  <c r="F128" i="4"/>
  <c r="J128" i="4"/>
  <c r="L143" i="3"/>
  <c r="I143" i="3"/>
  <c r="D143" i="3"/>
  <c r="F129" i="4"/>
  <c r="J129" i="4"/>
  <c r="L148" i="3"/>
  <c r="I148" i="3"/>
  <c r="D148" i="3"/>
  <c r="F130" i="4"/>
  <c r="J130" i="4"/>
  <c r="D146" i="3"/>
  <c r="F131" i="4"/>
  <c r="J131" i="4"/>
  <c r="J126" i="4"/>
  <c r="L118" i="3"/>
  <c r="I118" i="3"/>
  <c r="D118" i="3"/>
  <c r="F120" i="4"/>
  <c r="J120" i="4"/>
  <c r="L123" i="3"/>
  <c r="I123" i="3"/>
  <c r="D123" i="3"/>
  <c r="F121" i="4"/>
  <c r="J121" i="4"/>
  <c r="F122" i="4"/>
  <c r="J122" i="4"/>
  <c r="F123" i="4"/>
  <c r="J123" i="4"/>
  <c r="F124" i="4"/>
  <c r="J124" i="4"/>
  <c r="L139" i="3"/>
  <c r="I139" i="3"/>
  <c r="D139" i="3"/>
  <c r="F125" i="4"/>
  <c r="J125" i="4"/>
  <c r="J119" i="4"/>
  <c r="L86" i="3"/>
  <c r="I86" i="3"/>
  <c r="D86" i="3"/>
  <c r="F116" i="4"/>
  <c r="J116" i="4"/>
  <c r="L85" i="3"/>
  <c r="I85" i="3"/>
  <c r="D85" i="3"/>
  <c r="F117" i="4"/>
  <c r="J117" i="4"/>
  <c r="L111" i="3"/>
  <c r="I111" i="3"/>
  <c r="D111" i="3"/>
  <c r="F118" i="4"/>
  <c r="J118" i="4"/>
  <c r="J114" i="4"/>
  <c r="L106" i="3"/>
  <c r="I106" i="3"/>
  <c r="D106" i="3"/>
  <c r="F108" i="4"/>
  <c r="J108" i="4"/>
  <c r="L107" i="3"/>
  <c r="I107" i="3"/>
  <c r="D107" i="3"/>
  <c r="F109" i="4"/>
  <c r="J109" i="4"/>
  <c r="L108" i="3"/>
  <c r="I108" i="3"/>
  <c r="D108" i="3"/>
  <c r="F110" i="4"/>
  <c r="J110" i="4"/>
  <c r="L97" i="3"/>
  <c r="I97" i="3"/>
  <c r="D97" i="3"/>
  <c r="F111" i="4"/>
  <c r="J111" i="4"/>
  <c r="L105" i="3"/>
  <c r="I105" i="3"/>
  <c r="D105" i="3"/>
  <c r="F112" i="4"/>
  <c r="J112" i="4"/>
  <c r="L112" i="3"/>
  <c r="I112" i="3"/>
  <c r="D112" i="3"/>
  <c r="F113" i="4"/>
  <c r="J113" i="4"/>
  <c r="J107" i="4"/>
  <c r="F100" i="4"/>
  <c r="J100" i="4"/>
  <c r="L119" i="3"/>
  <c r="I119" i="3"/>
  <c r="D119" i="3"/>
  <c r="F101" i="4"/>
  <c r="J101" i="4"/>
  <c r="L120" i="3"/>
  <c r="I120" i="3"/>
  <c r="D120" i="3"/>
  <c r="F102" i="4"/>
  <c r="J102" i="4"/>
  <c r="L122" i="3"/>
  <c r="I122" i="3"/>
  <c r="D122" i="3"/>
  <c r="F103" i="4"/>
  <c r="J103" i="4"/>
  <c r="L124" i="3"/>
  <c r="I124" i="3"/>
  <c r="D124" i="3"/>
  <c r="F104" i="4"/>
  <c r="J104" i="4"/>
  <c r="L126" i="3"/>
  <c r="I126" i="3"/>
  <c r="D126" i="3"/>
  <c r="F105" i="4"/>
  <c r="J105" i="4"/>
  <c r="L129" i="3"/>
  <c r="I129" i="3"/>
  <c r="D129" i="3"/>
  <c r="F106" i="4"/>
  <c r="J106" i="4"/>
  <c r="J98" i="4"/>
  <c r="L76" i="3"/>
  <c r="I76" i="3"/>
  <c r="D76" i="3"/>
  <c r="F79" i="4"/>
  <c r="J79" i="4"/>
  <c r="F80" i="4"/>
  <c r="J80" i="4"/>
  <c r="L78" i="3"/>
  <c r="I78" i="3"/>
  <c r="D78" i="3"/>
  <c r="F81" i="4"/>
  <c r="J81" i="4"/>
  <c r="L94" i="3"/>
  <c r="I94" i="3"/>
  <c r="D94" i="3"/>
  <c r="F82" i="4"/>
  <c r="J82" i="4"/>
  <c r="F83" i="4"/>
  <c r="J83" i="4"/>
  <c r="L98" i="3"/>
  <c r="I98" i="3"/>
  <c r="D98" i="3"/>
  <c r="F84" i="4"/>
  <c r="J84" i="4"/>
  <c r="L83" i="3"/>
  <c r="I83" i="3"/>
  <c r="D83" i="3"/>
  <c r="F85" i="4"/>
  <c r="J85" i="4"/>
  <c r="F86" i="4"/>
  <c r="J86" i="4"/>
  <c r="L88" i="3"/>
  <c r="I88" i="3"/>
  <c r="D88" i="3"/>
  <c r="F87" i="4"/>
  <c r="J87" i="4"/>
  <c r="F88" i="4"/>
  <c r="J88" i="4"/>
  <c r="F89" i="4"/>
  <c r="J89" i="4"/>
  <c r="F90" i="4"/>
  <c r="J90" i="4"/>
  <c r="F91" i="4"/>
  <c r="J91" i="4"/>
  <c r="F92" i="4"/>
  <c r="J92" i="4"/>
  <c r="L89" i="3"/>
  <c r="I89" i="3"/>
  <c r="D89" i="3"/>
  <c r="F93" i="4"/>
  <c r="J93" i="4"/>
  <c r="L110" i="3"/>
  <c r="I110" i="3"/>
  <c r="D110" i="3"/>
  <c r="F94" i="4"/>
  <c r="J94" i="4"/>
  <c r="L109" i="3"/>
  <c r="I109" i="3"/>
  <c r="D109" i="3"/>
  <c r="F95" i="4"/>
  <c r="J95" i="4"/>
  <c r="J96" i="4"/>
  <c r="J97" i="4"/>
  <c r="J78" i="4"/>
  <c r="F65" i="4"/>
  <c r="J65" i="4"/>
  <c r="F66" i="4"/>
  <c r="J66" i="4"/>
  <c r="F67" i="4"/>
  <c r="J67" i="4"/>
  <c r="F68" i="4"/>
  <c r="J68" i="4"/>
  <c r="F69" i="4"/>
  <c r="J69" i="4"/>
  <c r="F70" i="4"/>
  <c r="J70" i="4"/>
  <c r="F71" i="4"/>
  <c r="J71" i="4"/>
  <c r="F72" i="4"/>
  <c r="J72" i="4"/>
  <c r="L71" i="3"/>
  <c r="I71" i="3"/>
  <c r="D71" i="3"/>
  <c r="F73" i="4"/>
  <c r="J73" i="4"/>
  <c r="L72" i="3"/>
  <c r="I72" i="3"/>
  <c r="D72" i="3"/>
  <c r="F74" i="4"/>
  <c r="J74" i="4"/>
  <c r="L73" i="3"/>
  <c r="I73" i="3"/>
  <c r="D73" i="3"/>
  <c r="F75" i="4"/>
  <c r="J75" i="4"/>
  <c r="L74" i="3"/>
  <c r="I74" i="3"/>
  <c r="D74" i="3"/>
  <c r="F76" i="4"/>
  <c r="J76" i="4"/>
  <c r="L75" i="3"/>
  <c r="I75" i="3"/>
  <c r="D75" i="3"/>
  <c r="F77" i="4"/>
  <c r="J77" i="4"/>
  <c r="J64" i="4"/>
  <c r="F48" i="4"/>
  <c r="J48" i="4"/>
  <c r="L35" i="3"/>
  <c r="I35" i="3"/>
  <c r="D35" i="3"/>
  <c r="F49" i="4"/>
  <c r="J49" i="4"/>
  <c r="F50" i="4"/>
  <c r="J50" i="4"/>
  <c r="L37" i="3"/>
  <c r="I37" i="3"/>
  <c r="D37" i="3"/>
  <c r="F51" i="4"/>
  <c r="J51" i="4"/>
  <c r="F52" i="4"/>
  <c r="J52" i="4"/>
  <c r="L39" i="3"/>
  <c r="I39" i="3"/>
  <c r="D39" i="3"/>
  <c r="F53" i="4"/>
  <c r="J53" i="4"/>
  <c r="F54" i="4"/>
  <c r="J54" i="4"/>
  <c r="F55" i="4"/>
  <c r="J55" i="4"/>
  <c r="F56" i="4"/>
  <c r="J56" i="4"/>
  <c r="F57" i="4"/>
  <c r="J57" i="4"/>
  <c r="F58" i="4"/>
  <c r="J58" i="4"/>
  <c r="F59" i="4"/>
  <c r="J59" i="4"/>
  <c r="F60" i="4"/>
  <c r="J60" i="4"/>
  <c r="F61" i="4"/>
  <c r="J61" i="4"/>
  <c r="F62" i="4"/>
  <c r="J62" i="4"/>
  <c r="F63" i="4"/>
  <c r="J63" i="4"/>
  <c r="J47" i="4"/>
  <c r="L26" i="3"/>
  <c r="I26" i="3"/>
  <c r="D26" i="3"/>
  <c r="F39" i="4"/>
  <c r="J39" i="4"/>
  <c r="L32" i="3"/>
  <c r="I32" i="3"/>
  <c r="D32" i="3"/>
  <c r="F40" i="4"/>
  <c r="J40" i="4"/>
  <c r="L27" i="3"/>
  <c r="I27" i="3"/>
  <c r="D27" i="3"/>
  <c r="F41" i="4"/>
  <c r="J41" i="4"/>
  <c r="L31" i="3"/>
  <c r="I31" i="3"/>
  <c r="D31" i="3"/>
  <c r="F43" i="4"/>
  <c r="J43" i="4"/>
  <c r="L29" i="3"/>
  <c r="I29" i="3"/>
  <c r="D29" i="3"/>
  <c r="F44" i="4"/>
  <c r="J44" i="4"/>
  <c r="L100" i="3"/>
  <c r="I100" i="3"/>
  <c r="D100" i="3"/>
  <c r="F45" i="4"/>
  <c r="J45" i="4"/>
  <c r="L133" i="3"/>
  <c r="I133" i="3"/>
  <c r="D133" i="3"/>
  <c r="F46" i="4"/>
  <c r="J46" i="4"/>
  <c r="J37" i="4"/>
  <c r="F26" i="4"/>
  <c r="J26" i="4"/>
  <c r="F27" i="4"/>
  <c r="J27" i="4"/>
  <c r="F28" i="4"/>
  <c r="J28" i="4"/>
  <c r="F29" i="4"/>
  <c r="J29" i="4"/>
  <c r="F30" i="4"/>
  <c r="J30" i="4"/>
  <c r="F31" i="4"/>
  <c r="J31" i="4"/>
  <c r="F32" i="4"/>
  <c r="J32" i="4"/>
  <c r="F33" i="4"/>
  <c r="J33" i="4"/>
  <c r="F34" i="4"/>
  <c r="J34" i="4"/>
  <c r="F35" i="4"/>
  <c r="J35" i="4"/>
  <c r="F36" i="4"/>
  <c r="J36" i="4"/>
  <c r="J25" i="4"/>
  <c r="F15" i="4"/>
  <c r="J15" i="4"/>
  <c r="F16" i="4"/>
  <c r="J16" i="4"/>
  <c r="F17" i="4"/>
  <c r="J17" i="4"/>
  <c r="F18" i="4"/>
  <c r="J18" i="4"/>
  <c r="F19" i="4"/>
  <c r="J19" i="4"/>
  <c r="F20" i="4"/>
  <c r="J20" i="4"/>
  <c r="F21" i="4"/>
  <c r="J21" i="4"/>
  <c r="F22" i="4"/>
  <c r="J22" i="4"/>
  <c r="F23" i="4"/>
  <c r="J23" i="4"/>
  <c r="F24" i="4"/>
  <c r="J24" i="4"/>
  <c r="J14" i="4"/>
  <c r="J134" i="4"/>
  <c r="J140" i="4"/>
  <c r="J141" i="4"/>
  <c r="Q15" i="4"/>
  <c r="Q16" i="4"/>
  <c r="Q17" i="4"/>
  <c r="Q18" i="4"/>
  <c r="Q19" i="4"/>
  <c r="Q20" i="4"/>
  <c r="Q21" i="4"/>
  <c r="Q22" i="4"/>
  <c r="Q23" i="4"/>
  <c r="Q24" i="4"/>
  <c r="Q26" i="4"/>
  <c r="Q27" i="4"/>
  <c r="Q28" i="4"/>
  <c r="Q29" i="4"/>
  <c r="Q30" i="4"/>
  <c r="Q31" i="4"/>
  <c r="Q32" i="4"/>
  <c r="Q33" i="4"/>
  <c r="Q34" i="4"/>
  <c r="Q35" i="4"/>
  <c r="Q36" i="4"/>
  <c r="Q38" i="4"/>
  <c r="Q39" i="4"/>
  <c r="Q40" i="4"/>
  <c r="Q41" i="4"/>
  <c r="Q42" i="4"/>
  <c r="Q43" i="4"/>
  <c r="Q44" i="4"/>
  <c r="Q45" i="4"/>
  <c r="Q46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100" i="4"/>
  <c r="Q101" i="4"/>
  <c r="Q102" i="4"/>
  <c r="Q103" i="4"/>
  <c r="Q104" i="4"/>
  <c r="Q105" i="4"/>
  <c r="Q106" i="4"/>
  <c r="Q108" i="4"/>
  <c r="Q109" i="4"/>
  <c r="Q110" i="4"/>
  <c r="Q111" i="4"/>
  <c r="Q112" i="4"/>
  <c r="Q113" i="4"/>
  <c r="Q114" i="4"/>
  <c r="Q115" i="4"/>
  <c r="Q116" i="4"/>
  <c r="Q117" i="4"/>
  <c r="Q118" i="4"/>
  <c r="Q120" i="4"/>
  <c r="Q121" i="4"/>
  <c r="Q122" i="4"/>
  <c r="Q123" i="4"/>
  <c r="Q124" i="4"/>
  <c r="Q125" i="4"/>
  <c r="Q127" i="4"/>
  <c r="Q128" i="4"/>
  <c r="Q129" i="4"/>
  <c r="Q130" i="4"/>
  <c r="Q131" i="4"/>
  <c r="Q132" i="4"/>
  <c r="Q133" i="4"/>
  <c r="Q134" i="4"/>
  <c r="J142" i="4"/>
  <c r="J143" i="4"/>
  <c r="F135" i="4"/>
  <c r="J145" i="4"/>
  <c r="J147" i="4"/>
  <c r="F10" i="4"/>
  <c r="J148" i="4"/>
  <c r="G134" i="4"/>
  <c r="K36" i="9"/>
  <c r="J36" i="9"/>
  <c r="G36" i="9"/>
  <c r="K35" i="9"/>
  <c r="J35" i="9"/>
  <c r="G35" i="9"/>
  <c r="G37" i="9"/>
  <c r="K37" i="9"/>
  <c r="G39" i="9"/>
  <c r="K39" i="9"/>
  <c r="G40" i="9"/>
  <c r="K40" i="9"/>
  <c r="G41" i="9"/>
  <c r="K41" i="9"/>
  <c r="G38" i="9"/>
  <c r="K38" i="9"/>
  <c r="G42" i="9"/>
  <c r="K42" i="9"/>
  <c r="F43" i="9"/>
  <c r="G43" i="9"/>
  <c r="K43" i="9"/>
  <c r="J37" i="9"/>
  <c r="F14" i="9"/>
  <c r="G14" i="9"/>
  <c r="K14" i="9"/>
  <c r="F15" i="9"/>
  <c r="G15" i="9"/>
  <c r="K15" i="9"/>
  <c r="F16" i="9"/>
  <c r="G16" i="9"/>
  <c r="K16" i="9"/>
  <c r="L114" i="3"/>
  <c r="I114" i="3"/>
  <c r="D114" i="3"/>
  <c r="F18" i="9"/>
  <c r="G18" i="9"/>
  <c r="K18" i="9"/>
  <c r="F19" i="9"/>
  <c r="G19" i="9"/>
  <c r="K19" i="9"/>
  <c r="F20" i="9"/>
  <c r="G20" i="9"/>
  <c r="K20" i="9"/>
  <c r="F21" i="9"/>
  <c r="G21" i="9"/>
  <c r="K21" i="9"/>
  <c r="F22" i="9"/>
  <c r="G22" i="9"/>
  <c r="K22" i="9"/>
  <c r="F23" i="9"/>
  <c r="G23" i="9"/>
  <c r="K23" i="9"/>
  <c r="F24" i="9"/>
  <c r="G24" i="9"/>
  <c r="K24" i="9"/>
  <c r="F26" i="9"/>
  <c r="K26" i="9"/>
  <c r="F27" i="9"/>
  <c r="G27" i="9"/>
  <c r="K27" i="9"/>
  <c r="L144" i="3"/>
  <c r="I144" i="3"/>
  <c r="D144" i="3"/>
  <c r="F29" i="9"/>
  <c r="G29" i="9"/>
  <c r="K29" i="9"/>
  <c r="K30" i="9"/>
  <c r="K31" i="9"/>
  <c r="F32" i="9"/>
  <c r="G32" i="9"/>
  <c r="K32" i="9"/>
  <c r="F33" i="9"/>
  <c r="K33" i="9"/>
  <c r="J38" i="9"/>
  <c r="J39" i="9"/>
  <c r="J40" i="9"/>
  <c r="J41" i="9"/>
  <c r="J14" i="9"/>
  <c r="J15" i="9"/>
  <c r="J16" i="9"/>
  <c r="J18" i="9"/>
  <c r="J19" i="9"/>
  <c r="J42" i="9"/>
  <c r="J20" i="9"/>
  <c r="J21" i="9"/>
  <c r="J22" i="9"/>
  <c r="J23" i="9"/>
  <c r="J24" i="9"/>
  <c r="J26" i="9"/>
  <c r="J27" i="9"/>
  <c r="J29" i="9"/>
  <c r="J30" i="9"/>
  <c r="J31" i="9"/>
  <c r="J32" i="9"/>
  <c r="J33" i="9"/>
  <c r="J43" i="9"/>
  <c r="J49" i="9"/>
  <c r="F10" i="11"/>
  <c r="J130" i="11"/>
  <c r="F147" i="3"/>
  <c r="F143" i="3"/>
  <c r="F148" i="3"/>
  <c r="F113" i="11"/>
  <c r="J113" i="11"/>
  <c r="F146" i="3"/>
  <c r="F114" i="11"/>
  <c r="J114" i="11"/>
  <c r="F118" i="3"/>
  <c r="F123" i="3"/>
  <c r="F109" i="11"/>
  <c r="J109" i="11"/>
  <c r="F139" i="3"/>
  <c r="F110" i="11"/>
  <c r="J110" i="11"/>
  <c r="F86" i="3"/>
  <c r="F85" i="3"/>
  <c r="F111" i="3"/>
  <c r="F106" i="3"/>
  <c r="F102" i="11"/>
  <c r="J102" i="11"/>
  <c r="F107" i="3"/>
  <c r="F103" i="11"/>
  <c r="J103" i="11"/>
  <c r="F108" i="3"/>
  <c r="F104" i="11"/>
  <c r="J104" i="11"/>
  <c r="F97" i="3"/>
  <c r="F105" i="11"/>
  <c r="J105" i="11"/>
  <c r="F105" i="3"/>
  <c r="F106" i="11"/>
  <c r="J106" i="11"/>
  <c r="F112" i="3"/>
  <c r="F107" i="11"/>
  <c r="J107" i="11"/>
  <c r="L116" i="3"/>
  <c r="F116" i="3"/>
  <c r="F95" i="11"/>
  <c r="J95" i="11"/>
  <c r="F119" i="3"/>
  <c r="F96" i="11"/>
  <c r="J96" i="11"/>
  <c r="F120" i="3"/>
  <c r="F97" i="11"/>
  <c r="J97" i="11"/>
  <c r="F122" i="3"/>
  <c r="F98" i="11"/>
  <c r="J98" i="11"/>
  <c r="F124" i="3"/>
  <c r="F99" i="11"/>
  <c r="J99" i="11"/>
  <c r="F126" i="3"/>
  <c r="F100" i="11"/>
  <c r="J100" i="11"/>
  <c r="F129" i="3"/>
  <c r="F76" i="3"/>
  <c r="F77" i="11"/>
  <c r="J77" i="11"/>
  <c r="L77" i="3"/>
  <c r="F77" i="3"/>
  <c r="F78" i="11"/>
  <c r="J78" i="11"/>
  <c r="F78" i="3"/>
  <c r="F94" i="3"/>
  <c r="L87" i="3"/>
  <c r="F87" i="3"/>
  <c r="F79" i="11"/>
  <c r="J79" i="11"/>
  <c r="F98" i="3"/>
  <c r="F80" i="11"/>
  <c r="J80" i="11"/>
  <c r="F83" i="3"/>
  <c r="F81" i="11"/>
  <c r="J81" i="11"/>
  <c r="L84" i="3"/>
  <c r="F84" i="3"/>
  <c r="F82" i="11"/>
  <c r="J82" i="11"/>
  <c r="F88" i="3"/>
  <c r="F83" i="11"/>
  <c r="J83" i="11"/>
  <c r="L81" i="3"/>
  <c r="F81" i="3"/>
  <c r="F84" i="11"/>
  <c r="J84" i="11"/>
  <c r="L82" i="3"/>
  <c r="F82" i="3"/>
  <c r="F85" i="11"/>
  <c r="J85" i="11"/>
  <c r="L96" i="3"/>
  <c r="F96" i="3"/>
  <c r="F86" i="11"/>
  <c r="J86" i="11"/>
  <c r="L99" i="3"/>
  <c r="F99" i="3"/>
  <c r="F87" i="11"/>
  <c r="J87" i="11"/>
  <c r="L104" i="3"/>
  <c r="F104" i="3"/>
  <c r="F88" i="11"/>
  <c r="J88" i="11"/>
  <c r="F89" i="3"/>
  <c r="F89" i="11"/>
  <c r="J89" i="11"/>
  <c r="F110" i="3"/>
  <c r="F90" i="11"/>
  <c r="J90" i="11"/>
  <c r="F109" i="3"/>
  <c r="F91" i="11"/>
  <c r="J91" i="11"/>
  <c r="J92" i="11"/>
  <c r="J93" i="11"/>
  <c r="L56" i="3"/>
  <c r="F56" i="3"/>
  <c r="F63" i="11"/>
  <c r="J63" i="11"/>
  <c r="L58" i="3"/>
  <c r="F58" i="3"/>
  <c r="F64" i="11"/>
  <c r="J64" i="11"/>
  <c r="L60" i="3"/>
  <c r="F60" i="3"/>
  <c r="F65" i="11"/>
  <c r="J65" i="11"/>
  <c r="L62" i="3"/>
  <c r="F62" i="3"/>
  <c r="F66" i="11"/>
  <c r="J66" i="11"/>
  <c r="L64" i="3"/>
  <c r="F64" i="3"/>
  <c r="F67" i="11"/>
  <c r="J67" i="11"/>
  <c r="L66" i="3"/>
  <c r="F66" i="3"/>
  <c r="F68" i="11"/>
  <c r="J68" i="11"/>
  <c r="L70" i="3"/>
  <c r="F70" i="3"/>
  <c r="F69" i="11"/>
  <c r="J69" i="11"/>
  <c r="L68" i="3"/>
  <c r="F68" i="3"/>
  <c r="F70" i="11"/>
  <c r="J70" i="11"/>
  <c r="F71" i="3"/>
  <c r="F71" i="11"/>
  <c r="J71" i="11"/>
  <c r="F72" i="3"/>
  <c r="F72" i="11"/>
  <c r="J72" i="11"/>
  <c r="F73" i="3"/>
  <c r="F73" i="11"/>
  <c r="J73" i="11"/>
  <c r="F74" i="3"/>
  <c r="F74" i="11"/>
  <c r="J74" i="11"/>
  <c r="F75" i="3"/>
  <c r="F75" i="11"/>
  <c r="J75" i="11"/>
  <c r="L34" i="3"/>
  <c r="F34" i="3"/>
  <c r="F48" i="11"/>
  <c r="J48" i="11"/>
  <c r="F35" i="3"/>
  <c r="L36" i="3"/>
  <c r="F36" i="3"/>
  <c r="F49" i="11"/>
  <c r="J49" i="11"/>
  <c r="F37" i="3"/>
  <c r="L38" i="3"/>
  <c r="F38" i="3"/>
  <c r="F50" i="11"/>
  <c r="J50" i="11"/>
  <c r="F39" i="3"/>
  <c r="L40" i="3"/>
  <c r="F40" i="3"/>
  <c r="F51" i="11"/>
  <c r="J51" i="11"/>
  <c r="L42" i="3"/>
  <c r="F42" i="3"/>
  <c r="F52" i="11"/>
  <c r="J52" i="11"/>
  <c r="L45" i="3"/>
  <c r="F45" i="3"/>
  <c r="F53" i="11"/>
  <c r="J53" i="11"/>
  <c r="L43" i="3"/>
  <c r="F43" i="3"/>
  <c r="F54" i="11"/>
  <c r="J54" i="11"/>
  <c r="F55" i="11"/>
  <c r="J55" i="11"/>
  <c r="L49" i="3"/>
  <c r="F49" i="3"/>
  <c r="F56" i="11"/>
  <c r="J56" i="11"/>
  <c r="L47" i="3"/>
  <c r="F47" i="3"/>
  <c r="F57" i="11"/>
  <c r="J57" i="11"/>
  <c r="L51" i="3"/>
  <c r="F51" i="3"/>
  <c r="F58" i="11"/>
  <c r="J58" i="11"/>
  <c r="L50" i="3"/>
  <c r="F50" i="3"/>
  <c r="F59" i="11"/>
  <c r="J59" i="11"/>
  <c r="L52" i="3"/>
  <c r="F52" i="3"/>
  <c r="F60" i="11"/>
  <c r="J60" i="11"/>
  <c r="L53" i="3"/>
  <c r="F53" i="3"/>
  <c r="F61" i="11"/>
  <c r="J61" i="11"/>
  <c r="F26" i="3"/>
  <c r="F39" i="11"/>
  <c r="J39" i="11"/>
  <c r="F32" i="3"/>
  <c r="F40" i="11"/>
  <c r="J40" i="11"/>
  <c r="F27" i="3"/>
  <c r="F41" i="11"/>
  <c r="J41" i="11"/>
  <c r="F31" i="3"/>
  <c r="F43" i="11"/>
  <c r="J43" i="11"/>
  <c r="F29" i="3"/>
  <c r="F44" i="11"/>
  <c r="J44" i="11"/>
  <c r="F100" i="3"/>
  <c r="F45" i="11"/>
  <c r="J45" i="11"/>
  <c r="F133" i="3"/>
  <c r="F46" i="11"/>
  <c r="J46" i="11"/>
  <c r="F26" i="11"/>
  <c r="J26" i="11"/>
  <c r="F27" i="11"/>
  <c r="J27" i="11"/>
  <c r="F28" i="11"/>
  <c r="J28" i="11"/>
  <c r="F29" i="11"/>
  <c r="J29" i="11"/>
  <c r="F30" i="11"/>
  <c r="J30" i="11"/>
  <c r="F31" i="11"/>
  <c r="J31" i="11"/>
  <c r="F32" i="11"/>
  <c r="J32" i="11"/>
  <c r="F33" i="11"/>
  <c r="J33" i="11"/>
  <c r="F34" i="11"/>
  <c r="J34" i="11"/>
  <c r="F35" i="11"/>
  <c r="J35" i="11"/>
  <c r="F36" i="11"/>
  <c r="J36" i="11"/>
  <c r="F15" i="11"/>
  <c r="J15" i="11"/>
  <c r="F16" i="11"/>
  <c r="J16" i="11"/>
  <c r="F17" i="11"/>
  <c r="J17" i="11"/>
  <c r="F18" i="11"/>
  <c r="J18" i="11"/>
  <c r="F19" i="11"/>
  <c r="J19" i="11"/>
  <c r="F20" i="11"/>
  <c r="J20" i="11"/>
  <c r="F21" i="11"/>
  <c r="J21" i="11"/>
  <c r="F22" i="11"/>
  <c r="J22" i="11"/>
  <c r="F23" i="11"/>
  <c r="J23" i="11"/>
  <c r="F24" i="11"/>
  <c r="J24" i="11"/>
  <c r="N15" i="11"/>
  <c r="O15" i="11"/>
  <c r="P15" i="11"/>
  <c r="N16" i="11"/>
  <c r="O16" i="11"/>
  <c r="P16" i="11"/>
  <c r="N17" i="11"/>
  <c r="O17" i="11"/>
  <c r="P17" i="11"/>
  <c r="N18" i="11"/>
  <c r="O18" i="11"/>
  <c r="P18" i="11"/>
  <c r="N19" i="11"/>
  <c r="O19" i="11"/>
  <c r="P19" i="11"/>
  <c r="N20" i="11"/>
  <c r="O20" i="11"/>
  <c r="P20" i="11"/>
  <c r="N21" i="11"/>
  <c r="O21" i="11"/>
  <c r="P21" i="11"/>
  <c r="N22" i="11"/>
  <c r="O22" i="11"/>
  <c r="P22" i="11"/>
  <c r="N23" i="11"/>
  <c r="O23" i="11"/>
  <c r="P23" i="11"/>
  <c r="N24" i="11"/>
  <c r="O24" i="11"/>
  <c r="P24" i="11"/>
  <c r="N26" i="11"/>
  <c r="O26" i="11"/>
  <c r="P26" i="11"/>
  <c r="N27" i="11"/>
  <c r="O27" i="11"/>
  <c r="P27" i="11"/>
  <c r="N28" i="11"/>
  <c r="O28" i="11"/>
  <c r="P28" i="11"/>
  <c r="N29" i="11"/>
  <c r="O29" i="11"/>
  <c r="P29" i="11"/>
  <c r="N30" i="11"/>
  <c r="O30" i="11"/>
  <c r="P30" i="11"/>
  <c r="N31" i="11"/>
  <c r="O31" i="11"/>
  <c r="P31" i="11"/>
  <c r="N32" i="11"/>
  <c r="O32" i="11"/>
  <c r="P32" i="11"/>
  <c r="N33" i="11"/>
  <c r="O33" i="11"/>
  <c r="P33" i="11"/>
  <c r="N34" i="11"/>
  <c r="O34" i="11"/>
  <c r="P34" i="11"/>
  <c r="N35" i="11"/>
  <c r="O35" i="11"/>
  <c r="P35" i="11"/>
  <c r="N36" i="11"/>
  <c r="O36" i="11"/>
  <c r="P36" i="11"/>
  <c r="N38" i="11"/>
  <c r="O38" i="11"/>
  <c r="P38" i="11"/>
  <c r="N39" i="11"/>
  <c r="O39" i="11"/>
  <c r="P39" i="11"/>
  <c r="N40" i="11"/>
  <c r="O40" i="11"/>
  <c r="P40" i="11"/>
  <c r="N41" i="11"/>
  <c r="O41" i="11"/>
  <c r="P41" i="11"/>
  <c r="N42" i="11"/>
  <c r="O42" i="11"/>
  <c r="P42" i="11"/>
  <c r="Q42" i="11"/>
  <c r="N43" i="11"/>
  <c r="O43" i="11"/>
  <c r="P43" i="11"/>
  <c r="N44" i="11"/>
  <c r="O44" i="11"/>
  <c r="P44" i="11"/>
  <c r="N45" i="11"/>
  <c r="O45" i="11"/>
  <c r="P45" i="11"/>
  <c r="N46" i="11"/>
  <c r="O46" i="11"/>
  <c r="P46" i="11"/>
  <c r="N48" i="11"/>
  <c r="O48" i="11"/>
  <c r="P48" i="11"/>
  <c r="N49" i="11"/>
  <c r="O49" i="11"/>
  <c r="P49" i="11"/>
  <c r="N50" i="11"/>
  <c r="O50" i="11"/>
  <c r="P50" i="11"/>
  <c r="N51" i="11"/>
  <c r="O51" i="11"/>
  <c r="P51" i="11"/>
  <c r="N52" i="11"/>
  <c r="O52" i="11"/>
  <c r="P52" i="11"/>
  <c r="N53" i="11"/>
  <c r="O53" i="11"/>
  <c r="P53" i="11"/>
  <c r="N54" i="11"/>
  <c r="O54" i="11"/>
  <c r="P54" i="11"/>
  <c r="N55" i="11"/>
  <c r="O55" i="11"/>
  <c r="P55" i="11"/>
  <c r="N56" i="11"/>
  <c r="O56" i="11"/>
  <c r="P56" i="11"/>
  <c r="N57" i="11"/>
  <c r="O57" i="11"/>
  <c r="P57" i="11"/>
  <c r="N58" i="11"/>
  <c r="O58" i="11"/>
  <c r="P58" i="11"/>
  <c r="N59" i="11"/>
  <c r="O59" i="11"/>
  <c r="P59" i="11"/>
  <c r="N60" i="11"/>
  <c r="O60" i="11"/>
  <c r="P60" i="11"/>
  <c r="N61" i="11"/>
  <c r="O61" i="11"/>
  <c r="P61" i="11"/>
  <c r="N62" i="11"/>
  <c r="O62" i="11"/>
  <c r="P62" i="11"/>
  <c r="N63" i="11"/>
  <c r="O63" i="11"/>
  <c r="P63" i="11"/>
  <c r="N64" i="11"/>
  <c r="O64" i="11"/>
  <c r="P64" i="11"/>
  <c r="N65" i="11"/>
  <c r="O65" i="11"/>
  <c r="P65" i="11"/>
  <c r="N66" i="11"/>
  <c r="O66" i="11"/>
  <c r="P66" i="11"/>
  <c r="N67" i="11"/>
  <c r="O67" i="11"/>
  <c r="P67" i="11"/>
  <c r="N68" i="11"/>
  <c r="O68" i="11"/>
  <c r="P68" i="11"/>
  <c r="N69" i="11"/>
  <c r="O69" i="11"/>
  <c r="P69" i="11"/>
  <c r="N70" i="11"/>
  <c r="O70" i="11"/>
  <c r="P70" i="11"/>
  <c r="N71" i="11"/>
  <c r="O71" i="11"/>
  <c r="P71" i="11"/>
  <c r="N72" i="11"/>
  <c r="O72" i="11"/>
  <c r="P72" i="11"/>
  <c r="N73" i="11"/>
  <c r="O73" i="11"/>
  <c r="P73" i="11"/>
  <c r="N74" i="11"/>
  <c r="O74" i="11"/>
  <c r="P74" i="11"/>
  <c r="N75" i="11"/>
  <c r="O75" i="11"/>
  <c r="P75" i="11"/>
  <c r="N77" i="11"/>
  <c r="O77" i="11"/>
  <c r="P77" i="11"/>
  <c r="N78" i="11"/>
  <c r="O78" i="11"/>
  <c r="P78" i="11"/>
  <c r="N79" i="11"/>
  <c r="O79" i="11"/>
  <c r="P79" i="11"/>
  <c r="N80" i="11"/>
  <c r="O80" i="11"/>
  <c r="P80" i="11"/>
  <c r="N81" i="11"/>
  <c r="O81" i="11"/>
  <c r="P81" i="11"/>
  <c r="N82" i="11"/>
  <c r="O82" i="11"/>
  <c r="P82" i="11"/>
  <c r="N83" i="11"/>
  <c r="O83" i="11"/>
  <c r="P83" i="11"/>
  <c r="N84" i="11"/>
  <c r="O84" i="11"/>
  <c r="P84" i="11"/>
  <c r="N85" i="11"/>
  <c r="O85" i="11"/>
  <c r="P85" i="11"/>
  <c r="N86" i="11"/>
  <c r="O86" i="11"/>
  <c r="P86" i="11"/>
  <c r="N87" i="11"/>
  <c r="O87" i="11"/>
  <c r="P87" i="11"/>
  <c r="N88" i="11"/>
  <c r="O88" i="11"/>
  <c r="P88" i="11"/>
  <c r="N89" i="11"/>
  <c r="O89" i="11"/>
  <c r="P89" i="11"/>
  <c r="N90" i="11"/>
  <c r="O90" i="11"/>
  <c r="P90" i="11"/>
  <c r="N91" i="11"/>
  <c r="O91" i="11"/>
  <c r="P91" i="11"/>
  <c r="N92" i="11"/>
  <c r="O92" i="11"/>
  <c r="P92" i="11"/>
  <c r="Q92" i="11"/>
  <c r="N93" i="11"/>
  <c r="O93" i="11"/>
  <c r="P93" i="11"/>
  <c r="Q93" i="11"/>
  <c r="N95" i="11"/>
  <c r="O95" i="11"/>
  <c r="P95" i="11"/>
  <c r="N96" i="11"/>
  <c r="O96" i="11"/>
  <c r="P96" i="11"/>
  <c r="N97" i="11"/>
  <c r="O97" i="11"/>
  <c r="P97" i="11"/>
  <c r="N98" i="11"/>
  <c r="O98" i="11"/>
  <c r="P98" i="11"/>
  <c r="N99" i="11"/>
  <c r="O99" i="11"/>
  <c r="P99" i="11"/>
  <c r="N100" i="11"/>
  <c r="O100" i="11"/>
  <c r="P100" i="11"/>
  <c r="N102" i="11"/>
  <c r="O102" i="11"/>
  <c r="P102" i="11"/>
  <c r="N103" i="11"/>
  <c r="O103" i="11"/>
  <c r="P103" i="11"/>
  <c r="N104" i="11"/>
  <c r="O104" i="11"/>
  <c r="P104" i="11"/>
  <c r="N105" i="11"/>
  <c r="O105" i="11"/>
  <c r="P105" i="11"/>
  <c r="N106" i="11"/>
  <c r="O106" i="11"/>
  <c r="P106" i="11"/>
  <c r="N107" i="11"/>
  <c r="O107" i="11"/>
  <c r="P107" i="11"/>
  <c r="N109" i="11"/>
  <c r="O109" i="11"/>
  <c r="P109" i="11"/>
  <c r="N110" i="11"/>
  <c r="O110" i="11"/>
  <c r="P110" i="11"/>
  <c r="N112" i="11"/>
  <c r="O112" i="11"/>
  <c r="P112" i="11"/>
  <c r="N113" i="11"/>
  <c r="O113" i="11"/>
  <c r="P113" i="11"/>
  <c r="N114" i="11"/>
  <c r="O114" i="11"/>
  <c r="P114" i="11"/>
  <c r="N115" i="11"/>
  <c r="O115" i="11"/>
  <c r="P115" i="11"/>
  <c r="G116" i="11"/>
  <c r="L125" i="3"/>
  <c r="F125" i="3"/>
  <c r="F115" i="11"/>
  <c r="J115" i="11"/>
  <c r="H115" i="11"/>
  <c r="H113" i="11"/>
  <c r="H112" i="11"/>
  <c r="H110" i="11"/>
  <c r="H109" i="11"/>
  <c r="L79" i="3"/>
  <c r="F79" i="3"/>
  <c r="H107" i="11"/>
  <c r="H106" i="11"/>
  <c r="H105" i="11"/>
  <c r="H104" i="11"/>
  <c r="H103" i="11"/>
  <c r="H102" i="11"/>
  <c r="H99" i="11"/>
  <c r="H98" i="11"/>
  <c r="H95" i="11"/>
  <c r="H93" i="11"/>
  <c r="H92" i="11"/>
  <c r="H91" i="11"/>
  <c r="H90" i="11"/>
  <c r="H87" i="11"/>
  <c r="H86" i="11"/>
  <c r="H85" i="11"/>
  <c r="H84" i="11"/>
  <c r="H83" i="11"/>
  <c r="H80" i="11"/>
  <c r="H78" i="11"/>
  <c r="H77" i="11"/>
  <c r="H73" i="11"/>
  <c r="H71" i="11"/>
  <c r="H70" i="11"/>
  <c r="H69" i="11"/>
  <c r="H68" i="11"/>
  <c r="H67" i="11"/>
  <c r="H66" i="11"/>
  <c r="H65" i="11"/>
  <c r="H64" i="11"/>
  <c r="H63" i="11"/>
  <c r="H61" i="11"/>
  <c r="H60" i="11"/>
  <c r="H59" i="11"/>
  <c r="H58" i="11"/>
  <c r="H57" i="11"/>
  <c r="H56" i="11"/>
  <c r="H54" i="11"/>
  <c r="H53" i="11"/>
  <c r="H52" i="11"/>
  <c r="H51" i="11"/>
  <c r="H50" i="11"/>
  <c r="H49" i="11"/>
  <c r="H48" i="11"/>
  <c r="H46" i="11"/>
  <c r="H45" i="11"/>
  <c r="H44" i="11"/>
  <c r="H43" i="11"/>
  <c r="H41" i="11"/>
  <c r="H40" i="11"/>
  <c r="H39" i="11"/>
  <c r="L25" i="3"/>
  <c r="F25" i="3"/>
  <c r="F38" i="11"/>
  <c r="J38" i="11"/>
  <c r="H38" i="11"/>
  <c r="H36" i="11"/>
  <c r="H35" i="11"/>
  <c r="H34" i="11"/>
  <c r="H33" i="11"/>
  <c r="H32" i="11"/>
  <c r="H31" i="11"/>
  <c r="H30" i="11"/>
  <c r="H29" i="11"/>
  <c r="H28" i="11"/>
  <c r="H27" i="11"/>
  <c r="H26" i="11"/>
  <c r="H24" i="11"/>
  <c r="H23" i="11"/>
  <c r="H22" i="11"/>
  <c r="H21" i="11"/>
  <c r="H20" i="11"/>
  <c r="H19" i="11"/>
  <c r="H18" i="11"/>
  <c r="H17" i="11"/>
  <c r="H16" i="11"/>
  <c r="H15" i="11"/>
  <c r="F8" i="11"/>
  <c r="F7" i="11"/>
  <c r="A2" i="11"/>
  <c r="P133" i="4"/>
  <c r="O133" i="4"/>
  <c r="N133" i="4"/>
  <c r="P132" i="4"/>
  <c r="O132" i="4"/>
  <c r="N132" i="4"/>
  <c r="P131" i="4"/>
  <c r="O131" i="4"/>
  <c r="N131" i="4"/>
  <c r="P130" i="4"/>
  <c r="O130" i="4"/>
  <c r="N130" i="4"/>
  <c r="P129" i="4"/>
  <c r="O129" i="4"/>
  <c r="N129" i="4"/>
  <c r="P128" i="4"/>
  <c r="O128" i="4"/>
  <c r="N128" i="4"/>
  <c r="P127" i="4"/>
  <c r="O127" i="4"/>
  <c r="N127" i="4"/>
  <c r="P124" i="4"/>
  <c r="O124" i="4"/>
  <c r="N124" i="4"/>
  <c r="P123" i="4"/>
  <c r="O123" i="4"/>
  <c r="N123" i="4"/>
  <c r="P122" i="4"/>
  <c r="O122" i="4"/>
  <c r="N122" i="4"/>
  <c r="P121" i="4"/>
  <c r="O121" i="4"/>
  <c r="N121" i="4"/>
  <c r="P120" i="4"/>
  <c r="O120" i="4"/>
  <c r="N120" i="4"/>
  <c r="P118" i="4"/>
  <c r="O118" i="4"/>
  <c r="N118" i="4"/>
  <c r="P117" i="4"/>
  <c r="O117" i="4"/>
  <c r="N117" i="4"/>
  <c r="P116" i="4"/>
  <c r="O116" i="4"/>
  <c r="N116" i="4"/>
  <c r="P115" i="4"/>
  <c r="O115" i="4"/>
  <c r="N115" i="4"/>
  <c r="P114" i="4"/>
  <c r="O114" i="4"/>
  <c r="N114" i="4"/>
  <c r="P113" i="4"/>
  <c r="O113" i="4"/>
  <c r="N113" i="4"/>
  <c r="P112" i="4"/>
  <c r="O112" i="4"/>
  <c r="N112" i="4"/>
  <c r="P111" i="4"/>
  <c r="O111" i="4"/>
  <c r="N111" i="4"/>
  <c r="P106" i="4"/>
  <c r="O106" i="4"/>
  <c r="N106" i="4"/>
  <c r="P105" i="4"/>
  <c r="O105" i="4"/>
  <c r="N105" i="4"/>
  <c r="P104" i="4"/>
  <c r="O104" i="4"/>
  <c r="N104" i="4"/>
  <c r="P103" i="4"/>
  <c r="O103" i="4"/>
  <c r="N103" i="4"/>
  <c r="P102" i="4"/>
  <c r="O102" i="4"/>
  <c r="N102" i="4"/>
  <c r="P101" i="4"/>
  <c r="O101" i="4"/>
  <c r="N101" i="4"/>
  <c r="P100" i="4"/>
  <c r="O100" i="4"/>
  <c r="N100" i="4"/>
  <c r="P97" i="4"/>
  <c r="O97" i="4"/>
  <c r="N97" i="4"/>
  <c r="P96" i="4"/>
  <c r="O96" i="4"/>
  <c r="N96" i="4"/>
  <c r="P95" i="4"/>
  <c r="O95" i="4"/>
  <c r="N95" i="4"/>
  <c r="P94" i="4"/>
  <c r="O94" i="4"/>
  <c r="N94" i="4"/>
  <c r="P93" i="4"/>
  <c r="O93" i="4"/>
  <c r="N93" i="4"/>
  <c r="P92" i="4"/>
  <c r="O92" i="4"/>
  <c r="N92" i="4"/>
  <c r="P91" i="4"/>
  <c r="O91" i="4"/>
  <c r="N91" i="4"/>
  <c r="P90" i="4"/>
  <c r="O90" i="4"/>
  <c r="N90" i="4"/>
  <c r="P89" i="4"/>
  <c r="O89" i="4"/>
  <c r="N89" i="4"/>
  <c r="P88" i="4"/>
  <c r="O88" i="4"/>
  <c r="N88" i="4"/>
  <c r="P87" i="4"/>
  <c r="O87" i="4"/>
  <c r="N87" i="4"/>
  <c r="P86" i="4"/>
  <c r="O86" i="4"/>
  <c r="N86" i="4"/>
  <c r="P85" i="4"/>
  <c r="O85" i="4"/>
  <c r="N85" i="4"/>
  <c r="P84" i="4"/>
  <c r="O84" i="4"/>
  <c r="N84" i="4"/>
  <c r="P83" i="4"/>
  <c r="O83" i="4"/>
  <c r="N83" i="4"/>
  <c r="P82" i="4"/>
  <c r="O82" i="4"/>
  <c r="N82" i="4"/>
  <c r="P81" i="4"/>
  <c r="O81" i="4"/>
  <c r="N81" i="4"/>
  <c r="P80" i="4"/>
  <c r="O80" i="4"/>
  <c r="N80" i="4"/>
  <c r="P77" i="4"/>
  <c r="O77" i="4"/>
  <c r="N77" i="4"/>
  <c r="P76" i="4"/>
  <c r="O76" i="4"/>
  <c r="N76" i="4"/>
  <c r="P75" i="4"/>
  <c r="O75" i="4"/>
  <c r="N75" i="4"/>
  <c r="P74" i="4"/>
  <c r="O74" i="4"/>
  <c r="N74" i="4"/>
  <c r="P73" i="4"/>
  <c r="O73" i="4"/>
  <c r="N73" i="4"/>
  <c r="P72" i="4"/>
  <c r="O72" i="4"/>
  <c r="N72" i="4"/>
  <c r="P71" i="4"/>
  <c r="O71" i="4"/>
  <c r="N71" i="4"/>
  <c r="P70" i="4"/>
  <c r="O70" i="4"/>
  <c r="N70" i="4"/>
  <c r="P69" i="4"/>
  <c r="O69" i="4"/>
  <c r="N69" i="4"/>
  <c r="P68" i="4"/>
  <c r="O68" i="4"/>
  <c r="N68" i="4"/>
  <c r="P67" i="4"/>
  <c r="O67" i="4"/>
  <c r="N67" i="4"/>
  <c r="P66" i="4"/>
  <c r="O66" i="4"/>
  <c r="N66" i="4"/>
  <c r="P65" i="4"/>
  <c r="O65" i="4"/>
  <c r="N65" i="4"/>
  <c r="P64" i="4"/>
  <c r="O64" i="4"/>
  <c r="N64" i="4"/>
  <c r="P63" i="4"/>
  <c r="O63" i="4"/>
  <c r="N63" i="4"/>
  <c r="P62" i="4"/>
  <c r="O62" i="4"/>
  <c r="N62" i="4"/>
  <c r="P61" i="4"/>
  <c r="O61" i="4"/>
  <c r="N61" i="4"/>
  <c r="P60" i="4"/>
  <c r="O60" i="4"/>
  <c r="N60" i="4"/>
  <c r="P59" i="4"/>
  <c r="O59" i="4"/>
  <c r="N59" i="4"/>
  <c r="P58" i="4"/>
  <c r="O58" i="4"/>
  <c r="N58" i="4"/>
  <c r="P57" i="4"/>
  <c r="O57" i="4"/>
  <c r="N57" i="4"/>
  <c r="P56" i="4"/>
  <c r="O56" i="4"/>
  <c r="N56" i="4"/>
  <c r="P55" i="4"/>
  <c r="O55" i="4"/>
  <c r="N55" i="4"/>
  <c r="P54" i="4"/>
  <c r="O54" i="4"/>
  <c r="N54" i="4"/>
  <c r="P53" i="4"/>
  <c r="O53" i="4"/>
  <c r="N53" i="4"/>
  <c r="P52" i="4"/>
  <c r="O52" i="4"/>
  <c r="N52" i="4"/>
  <c r="P51" i="4"/>
  <c r="O51" i="4"/>
  <c r="N51" i="4"/>
  <c r="P50" i="4"/>
  <c r="O50" i="4"/>
  <c r="N50" i="4"/>
  <c r="P49" i="4"/>
  <c r="O49" i="4"/>
  <c r="N49" i="4"/>
  <c r="P48" i="4"/>
  <c r="O48" i="4"/>
  <c r="N48" i="4"/>
  <c r="P46" i="4"/>
  <c r="O46" i="4"/>
  <c r="N46" i="4"/>
  <c r="P45" i="4"/>
  <c r="O45" i="4"/>
  <c r="N45" i="4"/>
  <c r="P44" i="4"/>
  <c r="O44" i="4"/>
  <c r="N44" i="4"/>
  <c r="P43" i="4"/>
  <c r="O43" i="4"/>
  <c r="N43" i="4"/>
  <c r="P42" i="4"/>
  <c r="O42" i="4"/>
  <c r="N42" i="4"/>
  <c r="P41" i="4"/>
  <c r="O41" i="4"/>
  <c r="N41" i="4"/>
  <c r="P40" i="4"/>
  <c r="O40" i="4"/>
  <c r="N40" i="4"/>
  <c r="P39" i="4"/>
  <c r="O39" i="4"/>
  <c r="N39" i="4"/>
  <c r="P38" i="4"/>
  <c r="O38" i="4"/>
  <c r="N38" i="4"/>
  <c r="P36" i="4"/>
  <c r="O36" i="4"/>
  <c r="N36" i="4"/>
  <c r="P35" i="4"/>
  <c r="O35" i="4"/>
  <c r="N35" i="4"/>
  <c r="P34" i="4"/>
  <c r="O34" i="4"/>
  <c r="N34" i="4"/>
  <c r="P33" i="4"/>
  <c r="O33" i="4"/>
  <c r="N33" i="4"/>
  <c r="P32" i="4"/>
  <c r="O32" i="4"/>
  <c r="N32" i="4"/>
  <c r="P31" i="4"/>
  <c r="O31" i="4"/>
  <c r="N31" i="4"/>
  <c r="P30" i="4"/>
  <c r="O30" i="4"/>
  <c r="N30" i="4"/>
  <c r="P29" i="4"/>
  <c r="O29" i="4"/>
  <c r="N29" i="4"/>
  <c r="P28" i="4"/>
  <c r="O28" i="4"/>
  <c r="N28" i="4"/>
  <c r="P27" i="4"/>
  <c r="O27" i="4"/>
  <c r="N27" i="4"/>
  <c r="P26" i="4"/>
  <c r="O26" i="4"/>
  <c r="N26" i="4"/>
  <c r="P24" i="4"/>
  <c r="O24" i="4"/>
  <c r="N24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K25" i="3"/>
  <c r="I25" i="3"/>
  <c r="G25" i="3"/>
  <c r="E25" i="3"/>
  <c r="D25" i="3"/>
  <c r="F38" i="4"/>
  <c r="J38" i="4"/>
  <c r="H38" i="4"/>
  <c r="K74" i="3"/>
  <c r="E74" i="3"/>
  <c r="K104" i="3"/>
  <c r="E104" i="3"/>
  <c r="K99" i="3"/>
  <c r="E99" i="3"/>
  <c r="K96" i="3"/>
  <c r="E96" i="3"/>
  <c r="H49" i="4"/>
  <c r="K143" i="3"/>
  <c r="G143" i="3"/>
  <c r="E143" i="3"/>
  <c r="L145" i="3"/>
  <c r="I145" i="3"/>
  <c r="D145" i="3"/>
  <c r="K145" i="3"/>
  <c r="F145" i="3"/>
  <c r="E145" i="3"/>
  <c r="L28" i="3"/>
  <c r="I28" i="3"/>
  <c r="D28" i="3"/>
  <c r="L33" i="3"/>
  <c r="I33" i="3"/>
  <c r="D33" i="3"/>
  <c r="L80" i="3"/>
  <c r="I80" i="3"/>
  <c r="D80" i="3"/>
  <c r="L127" i="3"/>
  <c r="I127" i="3"/>
  <c r="D127" i="3"/>
  <c r="L130" i="3"/>
  <c r="I130" i="3"/>
  <c r="D130" i="3"/>
  <c r="L131" i="3"/>
  <c r="I131" i="3"/>
  <c r="D131" i="3"/>
  <c r="L115" i="3"/>
  <c r="I115" i="3"/>
  <c r="D115" i="3"/>
  <c r="L134" i="3"/>
  <c r="I134" i="3"/>
  <c r="D134" i="3"/>
  <c r="I104" i="3"/>
  <c r="I99" i="3"/>
  <c r="I96" i="3"/>
  <c r="F130" i="3"/>
  <c r="K130" i="3"/>
  <c r="E130" i="3"/>
  <c r="L117" i="3"/>
  <c r="K117" i="3"/>
  <c r="I117" i="3"/>
  <c r="F117" i="3"/>
  <c r="E117" i="3"/>
  <c r="D117" i="3"/>
  <c r="L4" i="3"/>
  <c r="I4" i="3"/>
  <c r="H133" i="4"/>
  <c r="F132" i="4"/>
  <c r="J132" i="4"/>
  <c r="H75" i="4"/>
  <c r="K75" i="3"/>
  <c r="E75" i="3"/>
  <c r="K73" i="3"/>
  <c r="E73" i="3"/>
  <c r="J52" i="9"/>
  <c r="L5" i="3"/>
  <c r="L6" i="3"/>
  <c r="L7" i="3"/>
  <c r="L8" i="3"/>
  <c r="I8" i="3"/>
  <c r="L9" i="3"/>
  <c r="L10" i="3"/>
  <c r="L11" i="3"/>
  <c r="L12" i="3"/>
  <c r="L13" i="3"/>
  <c r="L14" i="3"/>
  <c r="K14" i="3"/>
  <c r="L15" i="3"/>
  <c r="L16" i="3"/>
  <c r="K16" i="3"/>
  <c r="L17" i="3"/>
  <c r="L18" i="3"/>
  <c r="K18" i="3"/>
  <c r="L19" i="3"/>
  <c r="L20" i="3"/>
  <c r="L21" i="3"/>
  <c r="L22" i="3"/>
  <c r="L23" i="3"/>
  <c r="L24" i="3"/>
  <c r="K27" i="3"/>
  <c r="E27" i="3"/>
  <c r="L30" i="3"/>
  <c r="F30" i="3"/>
  <c r="L41" i="3"/>
  <c r="F41" i="3"/>
  <c r="L44" i="3"/>
  <c r="L46" i="3"/>
  <c r="L48" i="3"/>
  <c r="F48" i="3"/>
  <c r="L54" i="3"/>
  <c r="L55" i="3"/>
  <c r="L57" i="3"/>
  <c r="K57" i="3"/>
  <c r="E57" i="3"/>
  <c r="L59" i="3"/>
  <c r="L61" i="3"/>
  <c r="K61" i="3"/>
  <c r="E61" i="3"/>
  <c r="L63" i="3"/>
  <c r="L65" i="3"/>
  <c r="L67" i="3"/>
  <c r="K68" i="3"/>
  <c r="L69" i="3"/>
  <c r="K69" i="3"/>
  <c r="E69" i="3"/>
  <c r="K78" i="3"/>
  <c r="E78" i="3"/>
  <c r="K80" i="3"/>
  <c r="E80" i="3"/>
  <c r="K83" i="3"/>
  <c r="E83" i="3"/>
  <c r="K84" i="3"/>
  <c r="E84" i="3"/>
  <c r="K88" i="3"/>
  <c r="E88" i="3"/>
  <c r="K89" i="3"/>
  <c r="E89" i="3"/>
  <c r="L90" i="3"/>
  <c r="L91" i="3"/>
  <c r="L92" i="3"/>
  <c r="L93" i="3"/>
  <c r="L95" i="3"/>
  <c r="L101" i="3"/>
  <c r="L102" i="3"/>
  <c r="L103" i="3"/>
  <c r="K103" i="3"/>
  <c r="E103" i="3"/>
  <c r="K106" i="3"/>
  <c r="E106" i="3"/>
  <c r="K110" i="3"/>
  <c r="E110" i="3"/>
  <c r="L113" i="3"/>
  <c r="K119" i="3"/>
  <c r="E119" i="3"/>
  <c r="F121" i="3"/>
  <c r="F112" i="11"/>
  <c r="J112" i="11"/>
  <c r="K125" i="3"/>
  <c r="E125" i="3"/>
  <c r="K126" i="3"/>
  <c r="E126" i="3"/>
  <c r="F127" i="3"/>
  <c r="L128" i="3"/>
  <c r="K128" i="3"/>
  <c r="E128" i="3"/>
  <c r="F131" i="3"/>
  <c r="L132" i="3"/>
  <c r="F132" i="3"/>
  <c r="K133" i="3"/>
  <c r="E133" i="3"/>
  <c r="F134" i="3"/>
  <c r="L135" i="3"/>
  <c r="F135" i="3"/>
  <c r="L136" i="3"/>
  <c r="L137" i="3"/>
  <c r="F137" i="3"/>
  <c r="L138" i="3"/>
  <c r="K138" i="3"/>
  <c r="E138" i="3"/>
  <c r="K139" i="3"/>
  <c r="E139" i="3"/>
  <c r="L140" i="3"/>
  <c r="F140" i="3"/>
  <c r="L141" i="3"/>
  <c r="K141" i="3"/>
  <c r="E141" i="3"/>
  <c r="F142" i="3"/>
  <c r="K144" i="3"/>
  <c r="E144" i="3"/>
  <c r="K4" i="3"/>
  <c r="F115" i="3"/>
  <c r="F92" i="3"/>
  <c r="F80" i="3"/>
  <c r="F69" i="3"/>
  <c r="F61" i="3"/>
  <c r="F57" i="3"/>
  <c r="F4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36" i="3"/>
  <c r="F103" i="3"/>
  <c r="F90" i="3"/>
  <c r="K6" i="3"/>
  <c r="K8" i="3"/>
  <c r="K9" i="3"/>
  <c r="K11" i="3"/>
  <c r="K13" i="3"/>
  <c r="K15" i="3"/>
  <c r="K17" i="3"/>
  <c r="K19" i="3"/>
  <c r="K20" i="3"/>
  <c r="K21" i="3"/>
  <c r="K22" i="3"/>
  <c r="K23" i="3"/>
  <c r="K24" i="3"/>
  <c r="K26" i="3"/>
  <c r="E26" i="3"/>
  <c r="K29" i="3"/>
  <c r="E29" i="3"/>
  <c r="K30" i="3"/>
  <c r="E30" i="3"/>
  <c r="K31" i="3"/>
  <c r="E31" i="3"/>
  <c r="K32" i="3"/>
  <c r="E32" i="3"/>
  <c r="K34" i="3"/>
  <c r="E34" i="3"/>
  <c r="K35" i="3"/>
  <c r="E35" i="3"/>
  <c r="K37" i="3"/>
  <c r="E37" i="3"/>
  <c r="K38" i="3"/>
  <c r="E38" i="3"/>
  <c r="K40" i="3"/>
  <c r="E40" i="3"/>
  <c r="K41" i="3"/>
  <c r="E41" i="3"/>
  <c r="K42" i="3"/>
  <c r="E42" i="3"/>
  <c r="K43" i="3"/>
  <c r="E43" i="3"/>
  <c r="K45" i="3"/>
  <c r="E45" i="3"/>
  <c r="K46" i="3"/>
  <c r="E46" i="3"/>
  <c r="K47" i="3"/>
  <c r="E47" i="3"/>
  <c r="K48" i="3"/>
  <c r="E48" i="3"/>
  <c r="K49" i="3"/>
  <c r="E49" i="3"/>
  <c r="K50" i="3"/>
  <c r="E50" i="3"/>
  <c r="K51" i="3"/>
  <c r="E51" i="3"/>
  <c r="K52" i="3"/>
  <c r="E52" i="3"/>
  <c r="K53" i="3"/>
  <c r="E53" i="3"/>
  <c r="K54" i="3"/>
  <c r="K56" i="3"/>
  <c r="E56" i="3"/>
  <c r="K58" i="3"/>
  <c r="E58" i="3"/>
  <c r="K62" i="3"/>
  <c r="E62" i="3"/>
  <c r="K64" i="3"/>
  <c r="E64" i="3"/>
  <c r="K66" i="3"/>
  <c r="E66" i="3"/>
  <c r="E68" i="3"/>
  <c r="K70" i="3"/>
  <c r="E70" i="3"/>
  <c r="K72" i="3"/>
  <c r="E72" i="3"/>
  <c r="K77" i="3"/>
  <c r="E77" i="3"/>
  <c r="K81" i="3"/>
  <c r="E81" i="3"/>
  <c r="K85" i="3"/>
  <c r="E85" i="3"/>
  <c r="K87" i="3"/>
  <c r="E87" i="3"/>
  <c r="K90" i="3"/>
  <c r="E90" i="3"/>
  <c r="K92" i="3"/>
  <c r="E92" i="3"/>
  <c r="K94" i="3"/>
  <c r="E94" i="3"/>
  <c r="K98" i="3"/>
  <c r="E98" i="3"/>
  <c r="K100" i="3"/>
  <c r="E100" i="3"/>
  <c r="K108" i="3"/>
  <c r="E108" i="3"/>
  <c r="K115" i="3"/>
  <c r="E115" i="3"/>
  <c r="K120" i="3"/>
  <c r="E120" i="3"/>
  <c r="K122" i="3"/>
  <c r="E122" i="3"/>
  <c r="K123" i="3"/>
  <c r="E123" i="3"/>
  <c r="K124" i="3"/>
  <c r="E124" i="3"/>
  <c r="K127" i="3"/>
  <c r="E127" i="3"/>
  <c r="K129" i="3"/>
  <c r="E129" i="3"/>
  <c r="K131" i="3"/>
  <c r="E131" i="3"/>
  <c r="K134" i="3"/>
  <c r="E134" i="3"/>
  <c r="K135" i="3"/>
  <c r="E135" i="3"/>
  <c r="K136" i="3"/>
  <c r="E136" i="3"/>
  <c r="K137" i="3"/>
  <c r="E137" i="3"/>
  <c r="K140" i="3"/>
  <c r="E140" i="3"/>
  <c r="K142" i="3"/>
  <c r="E142" i="3"/>
  <c r="K146" i="3"/>
  <c r="E146" i="3"/>
  <c r="I6" i="3"/>
  <c r="I9" i="3"/>
  <c r="I11" i="3"/>
  <c r="I13" i="3"/>
  <c r="I14" i="3"/>
  <c r="I15" i="3"/>
  <c r="I16" i="3"/>
  <c r="I17" i="3"/>
  <c r="I18" i="3"/>
  <c r="I19" i="3"/>
  <c r="I20" i="3"/>
  <c r="I21" i="3"/>
  <c r="I22" i="3"/>
  <c r="I23" i="3"/>
  <c r="I24" i="3"/>
  <c r="I30" i="3"/>
  <c r="D30" i="3"/>
  <c r="I34" i="3"/>
  <c r="I38" i="3"/>
  <c r="I40" i="3"/>
  <c r="I41" i="3"/>
  <c r="D41" i="3"/>
  <c r="I42" i="3"/>
  <c r="I43" i="3"/>
  <c r="I44" i="3"/>
  <c r="D44" i="3"/>
  <c r="I45" i="3"/>
  <c r="I46" i="3"/>
  <c r="D46" i="3"/>
  <c r="I47" i="3"/>
  <c r="I48" i="3"/>
  <c r="D48" i="3"/>
  <c r="I49" i="3"/>
  <c r="I50" i="3"/>
  <c r="I51" i="3"/>
  <c r="I52" i="3"/>
  <c r="I53" i="3"/>
  <c r="I54" i="3"/>
  <c r="I55" i="3"/>
  <c r="D55" i="3"/>
  <c r="I56" i="3"/>
  <c r="I57" i="3"/>
  <c r="D57" i="3"/>
  <c r="I58" i="3"/>
  <c r="I59" i="3"/>
  <c r="D59" i="3"/>
  <c r="I60" i="3"/>
  <c r="I61" i="3"/>
  <c r="D61" i="3"/>
  <c r="I62" i="3"/>
  <c r="I63" i="3"/>
  <c r="D63" i="3"/>
  <c r="I64" i="3"/>
  <c r="I65" i="3"/>
  <c r="D65" i="3"/>
  <c r="I66" i="3"/>
  <c r="I67" i="3"/>
  <c r="D67" i="3"/>
  <c r="I68" i="3"/>
  <c r="I69" i="3"/>
  <c r="D69" i="3"/>
  <c r="I70" i="3"/>
  <c r="I77" i="3"/>
  <c r="I79" i="3"/>
  <c r="D79" i="3"/>
  <c r="F115" i="4"/>
  <c r="J115" i="4"/>
  <c r="I81" i="3"/>
  <c r="I82" i="3"/>
  <c r="I84" i="3"/>
  <c r="I87" i="3"/>
  <c r="I90" i="3"/>
  <c r="I91" i="3"/>
  <c r="D91" i="3"/>
  <c r="I92" i="3"/>
  <c r="D92" i="3"/>
  <c r="I93" i="3"/>
  <c r="D93" i="3"/>
  <c r="I95" i="3"/>
  <c r="D95" i="3"/>
  <c r="I101" i="3"/>
  <c r="D101" i="3"/>
  <c r="I102" i="3"/>
  <c r="I103" i="3"/>
  <c r="I116" i="3"/>
  <c r="I125" i="3"/>
  <c r="D125" i="3"/>
  <c r="F133" i="4"/>
  <c r="J133" i="4"/>
  <c r="I135" i="3"/>
  <c r="D135" i="3"/>
  <c r="I136" i="3"/>
  <c r="D140" i="3"/>
  <c r="I142" i="3"/>
  <c r="D142" i="3"/>
  <c r="I3" i="3"/>
  <c r="K3" i="3"/>
  <c r="A2" i="4"/>
  <c r="G71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2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8" i="3"/>
  <c r="G119" i="3"/>
  <c r="G120" i="3"/>
  <c r="G121" i="3"/>
  <c r="G122" i="3"/>
  <c r="G123" i="3"/>
  <c r="G124" i="3"/>
  <c r="G126" i="3"/>
  <c r="G127" i="3"/>
  <c r="G128" i="3"/>
  <c r="G129" i="3"/>
  <c r="G131" i="3"/>
  <c r="G132" i="3"/>
  <c r="G133" i="3"/>
  <c r="G134" i="3"/>
  <c r="G135" i="3"/>
  <c r="G136" i="3"/>
  <c r="G139" i="3"/>
  <c r="G148" i="3"/>
  <c r="H89" i="4"/>
  <c r="H73" i="4"/>
  <c r="G30" i="9"/>
  <c r="H121" i="4"/>
  <c r="H120" i="4"/>
  <c r="H104" i="4"/>
  <c r="H111" i="4"/>
  <c r="H112" i="4"/>
  <c r="H113" i="4"/>
  <c r="H46" i="4"/>
  <c r="H45" i="4"/>
  <c r="G150" i="3"/>
  <c r="G151" i="3"/>
  <c r="G152" i="3"/>
  <c r="G153" i="3"/>
  <c r="G154" i="3"/>
  <c r="G155" i="3"/>
  <c r="G149" i="3"/>
  <c r="N79" i="4"/>
  <c r="O79" i="4"/>
  <c r="P79" i="4"/>
  <c r="N108" i="4"/>
  <c r="O108" i="4"/>
  <c r="P108" i="4"/>
  <c r="N109" i="4"/>
  <c r="O109" i="4"/>
  <c r="P109" i="4"/>
  <c r="N110" i="4"/>
  <c r="O110" i="4"/>
  <c r="P110" i="4"/>
  <c r="N125" i="4"/>
  <c r="O125" i="4"/>
  <c r="P125" i="4"/>
  <c r="B157" i="3"/>
  <c r="H127" i="4"/>
  <c r="G4" i="3"/>
  <c r="H88" i="4"/>
  <c r="H84" i="4"/>
  <c r="H100" i="4"/>
  <c r="H80" i="4"/>
  <c r="H130" i="4"/>
  <c r="A1" i="9"/>
  <c r="G31" i="9"/>
  <c r="F10" i="9"/>
  <c r="F8" i="9"/>
  <c r="H44" i="4"/>
  <c r="H39" i="4"/>
  <c r="F7" i="4"/>
  <c r="H125" i="4"/>
  <c r="N15" i="4"/>
  <c r="O15" i="4"/>
  <c r="P15" i="4"/>
  <c r="H118" i="4"/>
  <c r="H132" i="4"/>
  <c r="H124" i="4"/>
  <c r="H90" i="4"/>
  <c r="H97" i="4"/>
  <c r="H91" i="4"/>
  <c r="H117" i="4"/>
  <c r="H116" i="4"/>
  <c r="H115" i="4"/>
  <c r="H96" i="4"/>
  <c r="H82" i="4"/>
  <c r="H110" i="4"/>
  <c r="H109" i="4"/>
  <c r="H108" i="4"/>
  <c r="H103" i="4"/>
  <c r="H106" i="4"/>
  <c r="H87" i="4"/>
  <c r="H94" i="4"/>
  <c r="H95" i="4"/>
  <c r="H81" i="4"/>
  <c r="H79" i="4"/>
  <c r="H72" i="4"/>
  <c r="H71" i="4"/>
  <c r="H70" i="4"/>
  <c r="H69" i="4"/>
  <c r="H68" i="4"/>
  <c r="H67" i="4"/>
  <c r="H66" i="4"/>
  <c r="H65" i="4"/>
  <c r="H50" i="4"/>
  <c r="H63" i="4"/>
  <c r="H62" i="4"/>
  <c r="H53" i="4"/>
  <c r="H52" i="4"/>
  <c r="H51" i="4"/>
  <c r="H61" i="4"/>
  <c r="H60" i="4"/>
  <c r="H59" i="4"/>
  <c r="H58" i="4"/>
  <c r="H56" i="4"/>
  <c r="H55" i="4"/>
  <c r="H54" i="4"/>
  <c r="H48" i="4"/>
  <c r="H40" i="4"/>
  <c r="H43" i="4"/>
  <c r="H41" i="4"/>
  <c r="H36" i="4"/>
  <c r="H30" i="4"/>
  <c r="H29" i="4"/>
  <c r="H35" i="4"/>
  <c r="H34" i="4"/>
  <c r="H33" i="4"/>
  <c r="H32" i="4"/>
  <c r="H31" i="4"/>
  <c r="H28" i="4"/>
  <c r="H27" i="4"/>
  <c r="H26" i="4"/>
  <c r="H16" i="4"/>
  <c r="H17" i="4"/>
  <c r="H18" i="4"/>
  <c r="H19" i="4"/>
  <c r="H20" i="4"/>
  <c r="H21" i="4"/>
  <c r="H22" i="4"/>
  <c r="H23" i="4"/>
  <c r="H24" i="4"/>
  <c r="H15" i="4"/>
  <c r="D23" i="7"/>
  <c r="B23" i="7"/>
  <c r="H9" i="5"/>
  <c r="H195" i="5"/>
  <c r="L124" i="5"/>
  <c r="M124" i="5"/>
  <c r="N124" i="5"/>
  <c r="B9" i="5"/>
  <c r="G5" i="5"/>
  <c r="G4" i="5"/>
  <c r="D9" i="5"/>
  <c r="B8" i="5"/>
  <c r="B7" i="5"/>
  <c r="B6" i="5"/>
  <c r="C5" i="5"/>
  <c r="C4" i="5"/>
  <c r="F9" i="5"/>
  <c r="F8" i="4"/>
  <c r="K116" i="3"/>
  <c r="E116" i="3"/>
  <c r="F114" i="3"/>
  <c r="K114" i="3"/>
  <c r="E114" i="3"/>
  <c r="K111" i="3"/>
  <c r="E111" i="3"/>
  <c r="K109" i="3"/>
  <c r="E109" i="3"/>
  <c r="K107" i="3"/>
  <c r="E107" i="3"/>
  <c r="K105" i="3"/>
  <c r="E105" i="3"/>
  <c r="K28" i="3"/>
  <c r="E28" i="3"/>
  <c r="F28" i="3"/>
  <c r="K12" i="3"/>
  <c r="I12" i="3"/>
  <c r="K10" i="3"/>
  <c r="I10" i="3"/>
  <c r="F101" i="3"/>
  <c r="K101" i="3"/>
  <c r="E101" i="3"/>
  <c r="K97" i="3"/>
  <c r="E97" i="3"/>
  <c r="F95" i="3"/>
  <c r="K95" i="3"/>
  <c r="E95" i="3"/>
  <c r="F93" i="3"/>
  <c r="K93" i="3"/>
  <c r="E93" i="3"/>
  <c r="F91" i="3"/>
  <c r="K91" i="3"/>
  <c r="E91" i="3"/>
  <c r="K86" i="3"/>
  <c r="E86" i="3"/>
  <c r="K82" i="3"/>
  <c r="E82" i="3"/>
  <c r="K76" i="3"/>
  <c r="E76" i="3"/>
  <c r="K71" i="3"/>
  <c r="E71" i="3"/>
  <c r="F67" i="3"/>
  <c r="K67" i="3"/>
  <c r="E67" i="3"/>
  <c r="F63" i="3"/>
  <c r="K63" i="3"/>
  <c r="E63" i="3"/>
  <c r="F59" i="3"/>
  <c r="K59" i="3"/>
  <c r="E59" i="3"/>
  <c r="F55" i="3"/>
  <c r="K55" i="3"/>
  <c r="E55" i="3"/>
  <c r="K7" i="3"/>
  <c r="I7" i="3"/>
  <c r="K5" i="3"/>
  <c r="I5" i="3"/>
  <c r="K147" i="3"/>
  <c r="E147" i="3"/>
  <c r="K148" i="3"/>
  <c r="E148" i="3"/>
  <c r="N20" i="5"/>
  <c r="F188" i="5"/>
  <c r="H188" i="5"/>
  <c r="L159" i="5"/>
  <c r="N92" i="5"/>
  <c r="O172" i="5"/>
  <c r="M192" i="5"/>
  <c r="M56" i="5"/>
  <c r="M69" i="5"/>
  <c r="L177" i="5"/>
  <c r="F144" i="3"/>
  <c r="F141" i="3"/>
  <c r="F138" i="3"/>
  <c r="M63" i="5"/>
  <c r="N172" i="5"/>
  <c r="L13" i="5"/>
  <c r="M190" i="5"/>
  <c r="N21" i="5"/>
  <c r="N16" i="5"/>
  <c r="F80" i="5"/>
  <c r="H80" i="5"/>
  <c r="O13" i="5"/>
  <c r="N80" i="5"/>
  <c r="L100" i="5"/>
  <c r="L19" i="5"/>
  <c r="M42" i="5"/>
  <c r="N158" i="5"/>
  <c r="F185" i="5"/>
  <c r="H185" i="5"/>
  <c r="M104" i="5"/>
  <c r="O79" i="5"/>
  <c r="L57" i="5"/>
  <c r="F18" i="5"/>
  <c r="H18" i="5"/>
  <c r="F67" i="5"/>
  <c r="H67" i="5"/>
  <c r="L189" i="5"/>
  <c r="F159" i="5"/>
  <c r="H159" i="5"/>
  <c r="N94" i="5"/>
  <c r="O21" i="5"/>
  <c r="L32" i="5"/>
  <c r="O151" i="5"/>
  <c r="M178" i="5"/>
  <c r="F110" i="5"/>
  <c r="O154" i="5"/>
  <c r="L89" i="5"/>
  <c r="N41" i="5"/>
  <c r="L93" i="5"/>
  <c r="M174" i="5"/>
  <c r="O177" i="5"/>
  <c r="O181" i="5"/>
  <c r="F29" i="5"/>
  <c r="H29" i="5"/>
  <c r="O148" i="5"/>
  <c r="O122" i="5"/>
  <c r="M18" i="5"/>
  <c r="H121" i="5"/>
  <c r="M121" i="5"/>
  <c r="M14" i="5"/>
  <c r="F61" i="5"/>
  <c r="H61" i="5"/>
  <c r="O92" i="5"/>
  <c r="O65" i="5"/>
  <c r="M30" i="5"/>
  <c r="L49" i="5"/>
  <c r="O76" i="5"/>
  <c r="F95" i="5"/>
  <c r="H95" i="5"/>
  <c r="L158" i="5"/>
  <c r="F74" i="5"/>
  <c r="H74" i="5"/>
  <c r="F106" i="5"/>
  <c r="H106" i="5"/>
  <c r="L45" i="5"/>
  <c r="M12" i="5"/>
  <c r="H127" i="5"/>
  <c r="L127" i="5"/>
  <c r="O158" i="5"/>
  <c r="F156" i="5"/>
  <c r="H156" i="5"/>
  <c r="M191" i="5"/>
  <c r="N29" i="5"/>
  <c r="L167" i="5"/>
  <c r="N54" i="5"/>
  <c r="N38" i="5"/>
  <c r="M66" i="5"/>
  <c r="O64" i="5"/>
  <c r="L175" i="5"/>
  <c r="L51" i="5"/>
  <c r="L50" i="5"/>
  <c r="O180" i="5"/>
  <c r="O42" i="5"/>
  <c r="O192" i="5"/>
  <c r="N78" i="5"/>
  <c r="N88" i="5"/>
  <c r="O87" i="5"/>
  <c r="M187" i="5"/>
  <c r="L80" i="5"/>
  <c r="L77" i="5"/>
  <c r="O136" i="5"/>
  <c r="F43" i="5"/>
  <c r="H43" i="5"/>
  <c r="M100" i="5"/>
  <c r="O113" i="5"/>
  <c r="F194" i="5"/>
  <c r="H194" i="5"/>
  <c r="M152" i="5"/>
  <c r="N57" i="5"/>
  <c r="M164" i="5"/>
  <c r="O17" i="5"/>
  <c r="L176" i="5"/>
  <c r="O107" i="5"/>
  <c r="O170" i="5"/>
  <c r="M105" i="5"/>
  <c r="N48" i="5"/>
  <c r="F45" i="5"/>
  <c r="H45" i="5"/>
  <c r="O117" i="5"/>
  <c r="N153" i="5"/>
  <c r="L92" i="5"/>
  <c r="F6" i="5"/>
  <c r="L42" i="5"/>
  <c r="L63" i="5"/>
  <c r="H119" i="5"/>
  <c r="M119" i="5"/>
  <c r="F130" i="5"/>
  <c r="M165" i="5"/>
  <c r="L54" i="5"/>
  <c r="L187" i="5"/>
  <c r="M27" i="5"/>
  <c r="O78" i="5"/>
  <c r="M51" i="5"/>
  <c r="O129" i="5"/>
  <c r="L58" i="5"/>
  <c r="O26" i="5"/>
  <c r="N19" i="5"/>
  <c r="N107" i="5"/>
  <c r="M38" i="5"/>
  <c r="N55" i="5"/>
  <c r="F144" i="5"/>
  <c r="H144" i="5"/>
  <c r="N59" i="5"/>
  <c r="F153" i="5"/>
  <c r="H153" i="5"/>
  <c r="N51" i="5"/>
  <c r="O94" i="5"/>
  <c r="N44" i="5"/>
  <c r="N190" i="5"/>
  <c r="L66" i="5"/>
  <c r="O20" i="5"/>
  <c r="F16" i="5"/>
  <c r="H16" i="5"/>
  <c r="O134" i="5"/>
  <c r="F56" i="5"/>
  <c r="H56" i="5"/>
  <c r="O41" i="5"/>
  <c r="H128" i="5"/>
  <c r="L128" i="5"/>
  <c r="N128" i="5"/>
  <c r="F25" i="5"/>
  <c r="H25" i="5"/>
  <c r="M25" i="5"/>
  <c r="N76" i="5"/>
  <c r="N157" i="5"/>
  <c r="O168" i="5"/>
  <c r="N189" i="5"/>
  <c r="N62" i="5"/>
  <c r="M195" i="5"/>
  <c r="F65" i="5"/>
  <c r="H65" i="5"/>
  <c r="F104" i="5"/>
  <c r="H104" i="5"/>
  <c r="M78" i="5"/>
  <c r="N191" i="5"/>
  <c r="O69" i="5"/>
  <c r="M99" i="5"/>
  <c r="F94" i="5"/>
  <c r="H94" i="5"/>
  <c r="N63" i="5"/>
  <c r="N14" i="5"/>
  <c r="M156" i="5"/>
  <c r="O88" i="5"/>
  <c r="L40" i="5"/>
  <c r="O147" i="5"/>
  <c r="F164" i="5"/>
  <c r="H164" i="5"/>
  <c r="F128" i="5"/>
  <c r="L157" i="5"/>
  <c r="F83" i="5"/>
  <c r="H83" i="5"/>
  <c r="M177" i="5"/>
  <c r="N101" i="5"/>
  <c r="O55" i="5"/>
  <c r="M167" i="5"/>
  <c r="F39" i="5"/>
  <c r="H39" i="5"/>
  <c r="L160" i="5"/>
  <c r="L184" i="5"/>
  <c r="F14" i="5"/>
  <c r="H14" i="5"/>
  <c r="L33" i="5"/>
  <c r="A2" i="5"/>
  <c r="N46" i="5"/>
  <c r="M106" i="5"/>
  <c r="M76" i="5"/>
  <c r="O59" i="5"/>
  <c r="F101" i="5"/>
  <c r="H101" i="5"/>
  <c r="N152" i="5"/>
  <c r="L154" i="5"/>
  <c r="F113" i="5"/>
  <c r="O98" i="5"/>
  <c r="N181" i="5"/>
  <c r="O155" i="5"/>
  <c r="N13" i="5"/>
  <c r="F32" i="5"/>
  <c r="H32" i="5"/>
  <c r="M172" i="5"/>
  <c r="O121" i="5"/>
  <c r="N47" i="5"/>
  <c r="O28" i="5"/>
  <c r="H131" i="5"/>
  <c r="M131" i="5"/>
  <c r="L131" i="5"/>
  <c r="F47" i="5"/>
  <c r="H47" i="5"/>
  <c r="L188" i="5"/>
  <c r="L168" i="5"/>
  <c r="M97" i="5"/>
  <c r="O165" i="5"/>
  <c r="N45" i="5"/>
  <c r="O16" i="5"/>
  <c r="N184" i="5"/>
  <c r="L169" i="5"/>
  <c r="H129" i="5"/>
  <c r="L129" i="5"/>
  <c r="M129" i="5"/>
  <c r="O132" i="5"/>
  <c r="O40" i="5"/>
  <c r="F186" i="5"/>
  <c r="H186" i="5"/>
  <c r="M44" i="5"/>
  <c r="N121" i="5"/>
  <c r="N119" i="5"/>
  <c r="D141" i="3"/>
  <c r="M170" i="5"/>
  <c r="L170" i="5"/>
  <c r="O90" i="5"/>
  <c r="L38" i="5"/>
  <c r="M83" i="5"/>
  <c r="F127" i="5"/>
  <c r="M173" i="5"/>
  <c r="L20" i="5"/>
  <c r="L88" i="5"/>
  <c r="L74" i="5"/>
  <c r="M189" i="5"/>
  <c r="F191" i="5"/>
  <c r="H191" i="5"/>
  <c r="F126" i="5"/>
  <c r="L171" i="5"/>
  <c r="F41" i="5"/>
  <c r="H41" i="5"/>
  <c r="O119" i="5"/>
  <c r="O47" i="5"/>
  <c r="M107" i="5"/>
  <c r="M37" i="5"/>
  <c r="F158" i="5"/>
  <c r="N155" i="5"/>
  <c r="F169" i="5"/>
  <c r="H169" i="5"/>
  <c r="M185" i="5"/>
  <c r="M65" i="5"/>
  <c r="L48" i="5"/>
  <c r="O157" i="5"/>
  <c r="F63" i="5"/>
  <c r="H63" i="5"/>
  <c r="N99" i="5"/>
  <c r="O101" i="5"/>
  <c r="M181" i="5"/>
  <c r="O176" i="5"/>
  <c r="M55" i="5"/>
  <c r="M101" i="5"/>
  <c r="O130" i="5"/>
  <c r="M92" i="5"/>
  <c r="O96" i="5"/>
  <c r="N31" i="5"/>
  <c r="F148" i="5"/>
  <c r="H148" i="5"/>
  <c r="N69" i="5"/>
  <c r="L165" i="5"/>
  <c r="F88" i="5"/>
  <c r="H88" i="5"/>
  <c r="N39" i="5"/>
  <c r="N106" i="5"/>
  <c r="L15" i="5"/>
  <c r="O67" i="5"/>
  <c r="L193" i="5"/>
  <c r="O114" i="5"/>
  <c r="L104" i="5"/>
  <c r="L64" i="5"/>
  <c r="M163" i="5"/>
  <c r="F54" i="5"/>
  <c r="H54" i="5"/>
  <c r="F117" i="5"/>
  <c r="L96" i="5"/>
  <c r="O194" i="5"/>
  <c r="F146" i="5"/>
  <c r="H146" i="5"/>
  <c r="L75" i="5"/>
  <c r="O89" i="5"/>
  <c r="F155" i="5"/>
  <c r="H155" i="5"/>
  <c r="F118" i="5"/>
  <c r="M94" i="5"/>
  <c r="L61" i="5"/>
  <c r="L18" i="5"/>
  <c r="N43" i="5"/>
  <c r="N40" i="5"/>
  <c r="M70" i="5"/>
  <c r="F124" i="5"/>
  <c r="M26" i="5"/>
  <c r="L79" i="5"/>
  <c r="F37" i="5"/>
  <c r="H37" i="5"/>
  <c r="F147" i="5"/>
  <c r="H147" i="5"/>
  <c r="L147" i="5"/>
  <c r="F75" i="5"/>
  <c r="H75" i="5"/>
  <c r="L172" i="5"/>
  <c r="N177" i="5"/>
  <c r="F19" i="5"/>
  <c r="H19" i="5"/>
  <c r="M67" i="5"/>
  <c r="F174" i="5"/>
  <c r="H174" i="5"/>
  <c r="O184" i="5"/>
  <c r="F151" i="5"/>
  <c r="H151" i="5"/>
  <c r="F168" i="5"/>
  <c r="H168" i="5"/>
  <c r="O68" i="5"/>
  <c r="N66" i="5"/>
  <c r="O56" i="5"/>
  <c r="F79" i="5"/>
  <c r="H79" i="5"/>
  <c r="M24" i="5"/>
  <c r="F59" i="5"/>
  <c r="H59" i="5"/>
  <c r="O118" i="5"/>
  <c r="F33" i="5"/>
  <c r="H33" i="5"/>
  <c r="N179" i="5"/>
  <c r="N25" i="5"/>
  <c r="M85" i="5"/>
  <c r="L28" i="5"/>
  <c r="F26" i="5"/>
  <c r="H26" i="5"/>
  <c r="M75" i="5"/>
  <c r="M68" i="5"/>
  <c r="O126" i="5"/>
  <c r="F92" i="5"/>
  <c r="H92" i="5"/>
  <c r="H198" i="5"/>
  <c r="H204" i="5"/>
  <c r="H207" i="5"/>
  <c r="O32" i="5"/>
  <c r="M46" i="5"/>
  <c r="N77" i="5"/>
  <c r="M73" i="5"/>
  <c r="M28" i="5"/>
  <c r="M93" i="5"/>
  <c r="M168" i="5"/>
  <c r="F107" i="5"/>
  <c r="H107" i="5"/>
  <c r="L78" i="5"/>
  <c r="O31" i="5"/>
  <c r="N188" i="5"/>
  <c r="O120" i="5"/>
  <c r="L173" i="5"/>
  <c r="L152" i="5"/>
  <c r="N27" i="5"/>
  <c r="F142" i="5"/>
  <c r="H142" i="5"/>
  <c r="F21" i="5"/>
  <c r="H21" i="5"/>
  <c r="O135" i="5"/>
  <c r="F138" i="5"/>
  <c r="H138" i="5"/>
  <c r="M160" i="5"/>
  <c r="N87" i="5"/>
  <c r="O179" i="5"/>
  <c r="F131" i="5"/>
  <c r="O160" i="5"/>
  <c r="F68" i="5"/>
  <c r="H68" i="5"/>
  <c r="F183" i="5"/>
  <c r="H183" i="5"/>
  <c r="O133" i="5"/>
  <c r="L185" i="5"/>
  <c r="N37" i="5"/>
  <c r="M186" i="5"/>
  <c r="M16" i="5"/>
  <c r="O12" i="5"/>
  <c r="O104" i="5"/>
  <c r="M127" i="5"/>
  <c r="N129" i="5"/>
  <c r="N127" i="5"/>
  <c r="H210" i="5"/>
  <c r="F84" i="5"/>
  <c r="H84" i="5"/>
  <c r="H199" i="5"/>
  <c r="M95" i="5"/>
  <c r="O195" i="5"/>
  <c r="F73" i="5"/>
  <c r="H73" i="5"/>
  <c r="N32" i="5"/>
  <c r="M41" i="5"/>
  <c r="N96" i="5"/>
  <c r="O51" i="5"/>
  <c r="N163" i="5"/>
  <c r="L17" i="5"/>
  <c r="L85" i="5"/>
  <c r="O175" i="5"/>
  <c r="M158" i="5"/>
  <c r="O37" i="5"/>
  <c r="L67" i="5"/>
  <c r="L84" i="5"/>
  <c r="M33" i="5"/>
  <c r="F175" i="5"/>
  <c r="H175" i="5"/>
  <c r="M21" i="5"/>
  <c r="F178" i="5"/>
  <c r="H178" i="5"/>
  <c r="F62" i="5"/>
  <c r="H62" i="5"/>
  <c r="M179" i="5"/>
  <c r="F134" i="5"/>
  <c r="L106" i="5"/>
  <c r="F40" i="5"/>
  <c r="H40" i="5"/>
  <c r="M84" i="5"/>
  <c r="F98" i="5"/>
  <c r="H98" i="5"/>
  <c r="N91" i="5"/>
  <c r="O163" i="5"/>
  <c r="N73" i="5"/>
  <c r="F108" i="5"/>
  <c r="H108" i="5"/>
  <c r="N165" i="5"/>
  <c r="O24" i="5"/>
  <c r="F105" i="5"/>
  <c r="H105" i="5"/>
  <c r="F190" i="5"/>
  <c r="H190" i="5"/>
  <c r="N33" i="5"/>
  <c r="M151" i="5"/>
  <c r="L156" i="5"/>
  <c r="O91" i="5"/>
  <c r="M61" i="5"/>
  <c r="M39" i="5"/>
  <c r="O183" i="5"/>
  <c r="N30" i="5"/>
  <c r="O70" i="5"/>
  <c r="M79" i="5"/>
  <c r="O125" i="5"/>
  <c r="L27" i="5"/>
  <c r="F89" i="5"/>
  <c r="H89" i="5"/>
  <c r="F44" i="5"/>
  <c r="H44" i="5"/>
  <c r="N17" i="5"/>
  <c r="L55" i="5"/>
  <c r="N154" i="5"/>
  <c r="M40" i="5"/>
  <c r="F51" i="5"/>
  <c r="H51" i="5"/>
  <c r="L98" i="5"/>
  <c r="L56" i="5"/>
  <c r="F103" i="5"/>
  <c r="H103" i="5"/>
  <c r="M154" i="5"/>
  <c r="L105" i="5"/>
  <c r="N100" i="5"/>
  <c r="O46" i="5"/>
  <c r="L174" i="5"/>
  <c r="F109" i="5"/>
  <c r="H109" i="5"/>
  <c r="M20" i="5"/>
  <c r="H116" i="5"/>
  <c r="N116" i="5"/>
  <c r="F189" i="5"/>
  <c r="H189" i="5"/>
  <c r="O190" i="5"/>
  <c r="F93" i="5"/>
  <c r="H93" i="5"/>
  <c r="H200" i="5"/>
  <c r="L14" i="5"/>
  <c r="L178" i="5"/>
  <c r="L39" i="5"/>
  <c r="F136" i="5"/>
  <c r="H136" i="5"/>
  <c r="M136" i="5"/>
  <c r="O62" i="5"/>
  <c r="N175" i="5"/>
  <c r="O173" i="5"/>
  <c r="M87" i="5"/>
  <c r="O73" i="5"/>
  <c r="F57" i="5"/>
  <c r="H57" i="5"/>
  <c r="L90" i="5"/>
  <c r="H130" i="5"/>
  <c r="M130" i="5"/>
  <c r="F49" i="5"/>
  <c r="H49" i="5"/>
  <c r="N185" i="5"/>
  <c r="F17" i="5"/>
  <c r="H17" i="5"/>
  <c r="L192" i="5"/>
  <c r="L99" i="5"/>
  <c r="L186" i="5"/>
  <c r="O14" i="5"/>
  <c r="H135" i="5"/>
  <c r="L135" i="5"/>
  <c r="O127" i="5"/>
  <c r="N131" i="5"/>
  <c r="F113" i="3"/>
  <c r="K113" i="3"/>
  <c r="E113" i="3"/>
  <c r="I113" i="3"/>
  <c r="K65" i="3"/>
  <c r="E65" i="3"/>
  <c r="F65" i="3"/>
  <c r="K44" i="3"/>
  <c r="E44" i="3"/>
  <c r="F44" i="3"/>
  <c r="K39" i="3"/>
  <c r="E39" i="3"/>
  <c r="K36" i="3"/>
  <c r="E36" i="3"/>
  <c r="I36" i="3"/>
  <c r="K118" i="3"/>
  <c r="E118" i="3"/>
  <c r="K112" i="3"/>
  <c r="E112" i="3"/>
  <c r="K102" i="3"/>
  <c r="E102" i="3"/>
  <c r="F102" i="3"/>
  <c r="K60" i="3"/>
  <c r="E60" i="3"/>
  <c r="K33" i="3"/>
  <c r="E33" i="3"/>
  <c r="K79" i="3"/>
  <c r="E79" i="3"/>
  <c r="F33" i="3"/>
  <c r="L130" i="5"/>
  <c r="M135" i="5"/>
  <c r="L116" i="5"/>
  <c r="N130" i="5"/>
  <c r="N135" i="5"/>
  <c r="M116" i="5"/>
  <c r="F137" i="5"/>
  <c r="H137" i="5"/>
  <c r="F90" i="5"/>
  <c r="H90" i="5"/>
  <c r="F91" i="5"/>
  <c r="H91" i="5"/>
  <c r="F85" i="5"/>
  <c r="H85" i="5"/>
  <c r="F86" i="5"/>
  <c r="H86" i="5"/>
  <c r="F87" i="5"/>
  <c r="H87" i="5"/>
  <c r="H111" i="5"/>
  <c r="O44" i="5"/>
  <c r="N98" i="5"/>
  <c r="L179" i="5"/>
  <c r="N12" i="5"/>
  <c r="F161" i="5"/>
  <c r="H161" i="5"/>
  <c r="O124" i="5"/>
  <c r="F97" i="5"/>
  <c r="H97" i="5"/>
  <c r="F102" i="5"/>
  <c r="H102" i="5"/>
  <c r="F78" i="5"/>
  <c r="H78" i="5"/>
  <c r="M88" i="5"/>
  <c r="N170" i="5"/>
  <c r="H134" i="5"/>
  <c r="N192" i="5"/>
  <c r="F60" i="5"/>
  <c r="H60" i="5"/>
  <c r="O75" i="5"/>
  <c r="N151" i="5"/>
  <c r="O189" i="5"/>
  <c r="L26" i="5"/>
  <c r="O19" i="5"/>
  <c r="N74" i="5"/>
  <c r="F119" i="5"/>
  <c r="O128" i="5"/>
  <c r="F166" i="5"/>
  <c r="H166" i="5"/>
  <c r="F99" i="5"/>
  <c r="H99" i="5"/>
  <c r="F122" i="5"/>
  <c r="H122" i="5"/>
  <c r="M122" i="5"/>
  <c r="F27" i="5"/>
  <c r="H27" i="5"/>
  <c r="M17" i="5"/>
  <c r="M155" i="5"/>
  <c r="N85" i="5"/>
  <c r="N174" i="5"/>
  <c r="F42" i="5"/>
  <c r="H42" i="5"/>
  <c r="N60" i="5"/>
  <c r="M47" i="5"/>
  <c r="F76" i="5"/>
  <c r="H76" i="5"/>
  <c r="O156" i="5"/>
  <c r="F171" i="5"/>
  <c r="H171" i="5"/>
  <c r="L34" i="5"/>
  <c r="H132" i="5"/>
  <c r="L101" i="5"/>
  <c r="F115" i="5"/>
  <c r="N105" i="5"/>
  <c r="F30" i="5"/>
  <c r="H30" i="5"/>
  <c r="L103" i="5"/>
  <c r="N50" i="5"/>
  <c r="N103" i="5"/>
  <c r="F70" i="5"/>
  <c r="H70" i="5"/>
  <c r="M19" i="5"/>
  <c r="F176" i="5"/>
  <c r="H176" i="5"/>
  <c r="O29" i="5"/>
  <c r="L97" i="5"/>
  <c r="L91" i="5"/>
  <c r="M169" i="5"/>
  <c r="N164" i="5"/>
  <c r="M80" i="5"/>
  <c r="M43" i="5"/>
  <c r="L69" i="5"/>
  <c r="O34" i="5"/>
  <c r="O171" i="5"/>
  <c r="F46" i="5"/>
  <c r="H46" i="5"/>
  <c r="N49" i="5"/>
  <c r="N102" i="5"/>
  <c r="O27" i="5"/>
  <c r="F120" i="5"/>
  <c r="H120" i="5"/>
  <c r="L120" i="5"/>
  <c r="O191" i="5"/>
  <c r="L46" i="5"/>
  <c r="L16" i="5"/>
  <c r="M62" i="5"/>
  <c r="L94" i="5"/>
  <c r="N18" i="5"/>
  <c r="H125" i="5"/>
  <c r="M194" i="5"/>
  <c r="O57" i="5"/>
  <c r="M34" i="5"/>
  <c r="N176" i="5"/>
  <c r="N79" i="5"/>
  <c r="O152" i="5"/>
  <c r="L47" i="5"/>
  <c r="L151" i="5"/>
  <c r="O97" i="5"/>
  <c r="O18" i="5"/>
  <c r="O93" i="5"/>
  <c r="N156" i="5"/>
  <c r="M15" i="5"/>
  <c r="O193" i="5"/>
  <c r="N90" i="5"/>
  <c r="O48" i="5"/>
  <c r="O83" i="5"/>
  <c r="F133" i="5"/>
  <c r="H133" i="5"/>
  <c r="F170" i="5"/>
  <c r="H170" i="5"/>
  <c r="N167" i="5"/>
  <c r="L95" i="5"/>
  <c r="M29" i="5"/>
  <c r="M90" i="5"/>
  <c r="M183" i="5"/>
  <c r="L62" i="5"/>
  <c r="N24" i="5"/>
  <c r="N65" i="5"/>
  <c r="M193" i="5"/>
  <c r="O25" i="5"/>
  <c r="O15" i="5"/>
  <c r="O30" i="5"/>
  <c r="O33" i="5"/>
  <c r="O38" i="5"/>
  <c r="O39" i="5"/>
  <c r="O43" i="5"/>
  <c r="O45" i="5"/>
  <c r="O49" i="5"/>
  <c r="O50" i="5"/>
  <c r="O54" i="5"/>
  <c r="O58" i="5"/>
  <c r="O60" i="5"/>
  <c r="O61" i="5"/>
  <c r="O63" i="5"/>
  <c r="O66" i="5"/>
  <c r="O74" i="5"/>
  <c r="O77" i="5"/>
  <c r="O80" i="5"/>
  <c r="O84" i="5"/>
  <c r="O85" i="5"/>
  <c r="O95" i="5"/>
  <c r="O99" i="5"/>
  <c r="O100" i="5"/>
  <c r="O102" i="5"/>
  <c r="O103" i="5"/>
  <c r="O105" i="5"/>
  <c r="O106" i="5"/>
  <c r="O115" i="5"/>
  <c r="O116" i="5"/>
  <c r="O131" i="5"/>
  <c r="O153" i="5"/>
  <c r="O159" i="5"/>
  <c r="O161" i="5"/>
  <c r="O162" i="5"/>
  <c r="O164" i="5"/>
  <c r="O166" i="5"/>
  <c r="O167" i="5"/>
  <c r="O169" i="5"/>
  <c r="O174" i="5"/>
  <c r="O178" i="5"/>
  <c r="O185" i="5"/>
  <c r="O186" i="5"/>
  <c r="O187" i="5"/>
  <c r="O188" i="5"/>
  <c r="O196" i="5"/>
  <c r="H205" i="5"/>
  <c r="H206" i="5"/>
  <c r="H211" i="5"/>
  <c r="M157" i="5"/>
  <c r="M32" i="5"/>
  <c r="L162" i="5"/>
  <c r="L195" i="5"/>
  <c r="L194" i="5"/>
  <c r="L65" i="5"/>
  <c r="M48" i="5"/>
  <c r="F121" i="5"/>
  <c r="N104" i="5"/>
  <c r="L43" i="5"/>
  <c r="N56" i="5"/>
  <c r="M161" i="5"/>
  <c r="N193" i="5"/>
  <c r="L60" i="5"/>
  <c r="M175" i="5"/>
  <c r="L87" i="5"/>
  <c r="L180" i="5"/>
  <c r="M98" i="5"/>
  <c r="L153" i="5"/>
  <c r="M77" i="5"/>
  <c r="L44" i="5"/>
  <c r="M176" i="5"/>
  <c r="L24" i="5"/>
  <c r="F132" i="5"/>
  <c r="F58" i="5"/>
  <c r="H58" i="5"/>
  <c r="N162" i="5"/>
  <c r="F38" i="5"/>
  <c r="H38" i="5"/>
  <c r="F187" i="5"/>
  <c r="H187" i="5"/>
  <c r="M91" i="5"/>
  <c r="L70" i="5"/>
  <c r="N183" i="5"/>
  <c r="N15" i="5"/>
  <c r="H115" i="5"/>
  <c r="F5" i="5"/>
  <c r="N160" i="5"/>
  <c r="L166" i="5"/>
  <c r="L163" i="5"/>
  <c r="L68" i="5"/>
  <c r="F141" i="5"/>
  <c r="H141" i="5"/>
  <c r="F180" i="5"/>
  <c r="H180" i="5"/>
  <c r="F163" i="5"/>
  <c r="H163" i="5"/>
  <c r="N84" i="5"/>
  <c r="M153" i="5"/>
  <c r="L155" i="5"/>
  <c r="F13" i="5"/>
  <c r="H13" i="5"/>
  <c r="M49" i="5"/>
  <c r="F64" i="5"/>
  <c r="H64" i="5"/>
  <c r="F179" i="5"/>
  <c r="H179" i="5"/>
  <c r="L30" i="5"/>
  <c r="L181" i="5"/>
  <c r="L37" i="5"/>
  <c r="L121" i="5"/>
  <c r="M128" i="5"/>
  <c r="F12" i="5"/>
  <c r="H12" i="5"/>
  <c r="F15" i="5"/>
  <c r="H15" i="5"/>
  <c r="F20" i="5"/>
  <c r="H20" i="5"/>
  <c r="H22" i="5"/>
  <c r="N186" i="5"/>
  <c r="N166" i="5"/>
  <c r="F96" i="5"/>
  <c r="H96" i="5"/>
  <c r="M60" i="5"/>
  <c r="L41" i="5"/>
  <c r="L31" i="5"/>
  <c r="M57" i="5"/>
  <c r="L25" i="5"/>
  <c r="L102" i="5"/>
  <c r="F116" i="5"/>
  <c r="F193" i="5"/>
  <c r="H193" i="5"/>
  <c r="F77" i="5"/>
  <c r="H77" i="5"/>
  <c r="M96" i="5"/>
  <c r="N26" i="5"/>
  <c r="M188" i="5"/>
  <c r="F55" i="5"/>
  <c r="H55" i="5"/>
  <c r="L164" i="5"/>
  <c r="F143" i="5"/>
  <c r="H143" i="5"/>
  <c r="M184" i="5"/>
  <c r="M166" i="5"/>
  <c r="N89" i="5"/>
  <c r="M159" i="5"/>
  <c r="M13" i="5"/>
  <c r="F114" i="5"/>
  <c r="M64" i="5"/>
  <c r="F181" i="5"/>
  <c r="H181" i="5"/>
  <c r="N169" i="5"/>
  <c r="M58" i="5"/>
  <c r="M74" i="5"/>
  <c r="L76" i="5"/>
  <c r="M180" i="5"/>
  <c r="F154" i="5"/>
  <c r="H154" i="5"/>
  <c r="N34" i="5"/>
  <c r="F28" i="5"/>
  <c r="H28" i="5"/>
  <c r="F192" i="5"/>
  <c r="H192" i="5"/>
  <c r="M171" i="5"/>
  <c r="N178" i="5"/>
  <c r="N83" i="5"/>
  <c r="N161" i="5"/>
  <c r="L161" i="5"/>
  <c r="L73" i="5"/>
  <c r="M45" i="5"/>
  <c r="L107" i="5"/>
  <c r="M50" i="5"/>
  <c r="N187" i="5"/>
  <c r="N68" i="5"/>
  <c r="F123" i="5"/>
  <c r="L191" i="5"/>
  <c r="F165" i="5"/>
  <c r="H165" i="5"/>
  <c r="L183" i="5"/>
  <c r="L190" i="5"/>
  <c r="M89" i="5"/>
  <c r="F125" i="5"/>
  <c r="F34" i="5"/>
  <c r="H34" i="5"/>
  <c r="N180" i="5"/>
  <c r="H126" i="5"/>
  <c r="L59" i="5"/>
  <c r="F172" i="5"/>
  <c r="H172" i="5"/>
  <c r="L119" i="5"/>
  <c r="N58" i="5"/>
  <c r="N171" i="5"/>
  <c r="H114" i="5"/>
  <c r="N195" i="5"/>
  <c r="N159" i="5"/>
  <c r="L21" i="5"/>
  <c r="N95" i="5"/>
  <c r="F50" i="5"/>
  <c r="H50" i="5"/>
  <c r="F162" i="5"/>
  <c r="H162" i="5"/>
  <c r="F182" i="5"/>
  <c r="H182" i="5"/>
  <c r="L12" i="5"/>
  <c r="F135" i="5"/>
  <c r="N67" i="5"/>
  <c r="N194" i="5"/>
  <c r="M162" i="5"/>
  <c r="N97" i="5"/>
  <c r="F66" i="5"/>
  <c r="H66" i="5"/>
  <c r="F31" i="5"/>
  <c r="H31" i="5"/>
  <c r="M54" i="5"/>
  <c r="H118" i="5"/>
  <c r="N173" i="5"/>
  <c r="N64" i="5"/>
  <c r="F173" i="5"/>
  <c r="H173" i="5"/>
  <c r="F69" i="5"/>
  <c r="H69" i="5"/>
  <c r="M59" i="5"/>
  <c r="G6" i="5"/>
  <c r="N61" i="5"/>
  <c r="F177" i="5"/>
  <c r="H177" i="5"/>
  <c r="L83" i="5"/>
  <c r="F184" i="5"/>
  <c r="H184" i="5"/>
  <c r="F160" i="5"/>
  <c r="H160" i="5"/>
  <c r="N93" i="5"/>
  <c r="F100" i="5"/>
  <c r="H100" i="5"/>
  <c r="N75" i="5"/>
  <c r="M103" i="5"/>
  <c r="N168" i="5"/>
  <c r="F145" i="5"/>
  <c r="H145" i="5"/>
  <c r="L29" i="5"/>
  <c r="N28" i="5"/>
  <c r="F167" i="5"/>
  <c r="H167" i="5"/>
  <c r="M102" i="5"/>
  <c r="N70" i="5"/>
  <c r="H113" i="5"/>
  <c r="F129" i="5"/>
  <c r="M31" i="5"/>
  <c r="H117" i="5"/>
  <c r="N42" i="5"/>
  <c r="F24" i="5"/>
  <c r="H24" i="5"/>
  <c r="I128" i="3"/>
  <c r="F128" i="3"/>
  <c r="K132" i="3"/>
  <c r="E132" i="3"/>
  <c r="I132" i="3"/>
  <c r="K44" i="9"/>
  <c r="J111" i="11"/>
  <c r="Q105" i="11"/>
  <c r="Q97" i="11"/>
  <c r="Q90" i="11"/>
  <c r="Q86" i="11"/>
  <c r="Q82" i="11"/>
  <c r="Q75" i="11"/>
  <c r="Q71" i="11"/>
  <c r="Q67" i="11"/>
  <c r="Q115" i="11"/>
  <c r="Q109" i="11"/>
  <c r="Q68" i="11"/>
  <c r="Q113" i="11"/>
  <c r="Q110" i="11"/>
  <c r="Q107" i="11"/>
  <c r="Q103" i="11"/>
  <c r="Q99" i="11"/>
  <c r="Q95" i="11"/>
  <c r="Q88" i="11"/>
  <c r="Q84" i="11"/>
  <c r="Q80" i="11"/>
  <c r="Q78" i="11"/>
  <c r="Q73" i="11"/>
  <c r="Q69" i="11"/>
  <c r="H52" i="5"/>
  <c r="H201" i="5"/>
  <c r="Q106" i="11"/>
  <c r="Q102" i="11"/>
  <c r="Q98" i="11"/>
  <c r="Q91" i="11"/>
  <c r="Q87" i="11"/>
  <c r="Q83" i="11"/>
  <c r="Q79" i="11"/>
  <c r="Q77" i="11"/>
  <c r="Q72" i="11"/>
  <c r="Q114" i="11"/>
  <c r="Q112" i="11"/>
  <c r="Q104" i="11"/>
  <c r="Q100" i="11"/>
  <c r="Q96" i="11"/>
  <c r="Q89" i="11"/>
  <c r="Q85" i="11"/>
  <c r="Q81" i="11"/>
  <c r="Q74" i="11"/>
  <c r="Q70" i="11"/>
  <c r="K121" i="3"/>
  <c r="E121" i="3"/>
  <c r="E157" i="3"/>
  <c r="H196" i="5"/>
  <c r="H203" i="5"/>
  <c r="N122" i="5"/>
  <c r="L122" i="5"/>
  <c r="I47" i="4"/>
  <c r="Q46" i="11"/>
  <c r="Q19" i="11"/>
  <c r="H71" i="5"/>
  <c r="J47" i="11"/>
  <c r="J94" i="11"/>
  <c r="Q64" i="11"/>
  <c r="Q60" i="11"/>
  <c r="Q56" i="11"/>
  <c r="Q52" i="11"/>
  <c r="Q41" i="11"/>
  <c r="Q36" i="11"/>
  <c r="Q32" i="11"/>
  <c r="Q28" i="11"/>
  <c r="Q23" i="11"/>
  <c r="Q15" i="11"/>
  <c r="H35" i="5"/>
  <c r="J47" i="9"/>
  <c r="J48" i="9"/>
  <c r="J50" i="9"/>
  <c r="K54" i="9"/>
  <c r="M148" i="5"/>
  <c r="N148" i="5"/>
  <c r="L148" i="5"/>
  <c r="M133" i="5"/>
  <c r="N133" i="5"/>
  <c r="L133" i="5"/>
  <c r="M147" i="5"/>
  <c r="N147" i="5"/>
  <c r="Q61" i="11"/>
  <c r="Q57" i="11"/>
  <c r="Q53" i="11"/>
  <c r="Q48" i="11"/>
  <c r="Q38" i="11"/>
  <c r="Q33" i="11"/>
  <c r="Q29" i="11"/>
  <c r="Q20" i="11"/>
  <c r="J37" i="11"/>
  <c r="N136" i="5"/>
  <c r="J14" i="11"/>
  <c r="I47" i="11"/>
  <c r="J62" i="11"/>
  <c r="H81" i="5"/>
  <c r="Q65" i="11"/>
  <c r="Q50" i="11"/>
  <c r="Q43" i="11"/>
  <c r="Q24" i="11"/>
  <c r="Q16" i="11"/>
  <c r="L136" i="5"/>
  <c r="J25" i="11"/>
  <c r="Q66" i="11"/>
  <c r="Q62" i="11"/>
  <c r="Q58" i="11"/>
  <c r="Q54" i="11"/>
  <c r="Q44" i="11"/>
  <c r="Q39" i="11"/>
  <c r="Q34" i="11"/>
  <c r="Q30" i="11"/>
  <c r="Q26" i="11"/>
  <c r="Q21" i="11"/>
  <c r="Q17" i="11"/>
  <c r="J76" i="11"/>
  <c r="J101" i="11"/>
  <c r="J108" i="11"/>
  <c r="Q63" i="11"/>
  <c r="Q59" i="11"/>
  <c r="Q55" i="11"/>
  <c r="Q51" i="11"/>
  <c r="Q49" i="11"/>
  <c r="Q45" i="11"/>
  <c r="Q40" i="11"/>
  <c r="Q35" i="11"/>
  <c r="Q31" i="11"/>
  <c r="Q27" i="11"/>
  <c r="Q22" i="11"/>
  <c r="Q18" i="11"/>
  <c r="N126" i="5"/>
  <c r="M126" i="5"/>
  <c r="L126" i="5"/>
  <c r="M120" i="5"/>
  <c r="H149" i="5"/>
  <c r="N120" i="5"/>
  <c r="N118" i="5"/>
  <c r="M118" i="5"/>
  <c r="L118" i="5"/>
  <c r="M134" i="5"/>
  <c r="N134" i="5"/>
  <c r="L134" i="5"/>
  <c r="M117" i="5"/>
  <c r="L117" i="5"/>
  <c r="N117" i="5"/>
  <c r="L113" i="5"/>
  <c r="M113" i="5"/>
  <c r="N113" i="5"/>
  <c r="N114" i="5"/>
  <c r="L114" i="5"/>
  <c r="M114" i="5"/>
  <c r="M125" i="5"/>
  <c r="L125" i="5"/>
  <c r="N125" i="5"/>
  <c r="M115" i="5"/>
  <c r="L115" i="5"/>
  <c r="N115" i="5"/>
  <c r="L132" i="5"/>
  <c r="M132" i="5"/>
  <c r="N132" i="5"/>
  <c r="D157" i="3"/>
  <c r="I142" i="4"/>
  <c r="G50" i="9"/>
  <c r="J116" i="11"/>
  <c r="J122" i="11"/>
  <c r="J123" i="11"/>
  <c r="I124" i="11"/>
  <c r="H50" i="9"/>
  <c r="K55" i="9"/>
  <c r="J55" i="9"/>
  <c r="J51" i="9"/>
  <c r="J54" i="9"/>
  <c r="H202" i="5"/>
  <c r="Q116" i="11"/>
  <c r="J124" i="11"/>
  <c r="J125" i="11"/>
  <c r="K126" i="11"/>
  <c r="K144" i="4"/>
  <c r="F136" i="4"/>
  <c r="G125" i="11"/>
  <c r="G143" i="4"/>
  <c r="F117" i="11"/>
  <c r="J127" i="11"/>
  <c r="J129" i="11"/>
  <c r="J126" i="11"/>
  <c r="J144" i="4"/>
</calcChain>
</file>

<file path=xl/sharedStrings.xml><?xml version="1.0" encoding="utf-8"?>
<sst xmlns="http://schemas.openxmlformats.org/spreadsheetml/2006/main" count="1509" uniqueCount="667">
  <si>
    <t>C-001</t>
  </si>
  <si>
    <t>Hong Kong</t>
  </si>
  <si>
    <t>C-002</t>
  </si>
  <si>
    <t>India</t>
  </si>
  <si>
    <t>C-003</t>
  </si>
  <si>
    <t>Indonesia</t>
  </si>
  <si>
    <t xml:space="preserve">C-004 </t>
  </si>
  <si>
    <t>Japan</t>
  </si>
  <si>
    <t>C-005</t>
  </si>
  <si>
    <t>Malaysia</t>
  </si>
  <si>
    <t>C-006</t>
  </si>
  <si>
    <t>Pakistan</t>
  </si>
  <si>
    <t>C-007</t>
  </si>
  <si>
    <t>People’s Republic of China</t>
  </si>
  <si>
    <t>C-008</t>
  </si>
  <si>
    <t>South Korea</t>
  </si>
  <si>
    <t>C-009</t>
  </si>
  <si>
    <t>Taiwan</t>
  </si>
  <si>
    <t>C-010</t>
  </si>
  <si>
    <t>Thailand</t>
  </si>
  <si>
    <t>Resources Available From ISI</t>
  </si>
  <si>
    <t>Item#</t>
  </si>
  <si>
    <t>Total</t>
  </si>
  <si>
    <t>Address:</t>
  </si>
  <si>
    <t>State:</t>
  </si>
  <si>
    <t>City:</t>
  </si>
  <si>
    <t>Zip:</t>
  </si>
  <si>
    <t>Religion Profiles</t>
  </si>
  <si>
    <t>R-001</t>
  </si>
  <si>
    <t>Animism</t>
  </si>
  <si>
    <t>R-002</t>
  </si>
  <si>
    <t>Buddhism</t>
  </si>
  <si>
    <t>R-003</t>
  </si>
  <si>
    <t>Hinduism</t>
  </si>
  <si>
    <t>R-004</t>
  </si>
  <si>
    <t>R-005</t>
  </si>
  <si>
    <t>R-006</t>
  </si>
  <si>
    <t>R-007</t>
  </si>
  <si>
    <t>R-008</t>
  </si>
  <si>
    <t>R-009</t>
  </si>
  <si>
    <t>R-010</t>
  </si>
  <si>
    <t>R-011</t>
  </si>
  <si>
    <t>Islam</t>
  </si>
  <si>
    <t>Judaism and the Jewish People</t>
  </si>
  <si>
    <t>Marxism</t>
  </si>
  <si>
    <t>Secularism</t>
  </si>
  <si>
    <t>Shinto</t>
  </si>
  <si>
    <t>World Religions Overview</t>
  </si>
  <si>
    <t>ISI Videos</t>
  </si>
  <si>
    <t>V-001</t>
  </si>
  <si>
    <t>V-002</t>
  </si>
  <si>
    <t>V-003</t>
  </si>
  <si>
    <t>V-004</t>
  </si>
  <si>
    <t>V-005</t>
  </si>
  <si>
    <t>V-006</t>
  </si>
  <si>
    <t>V-007</t>
  </si>
  <si>
    <t>V-008</t>
  </si>
  <si>
    <t>V-009</t>
  </si>
  <si>
    <t>V-010</t>
  </si>
  <si>
    <t>Getting Started with ISI</t>
  </si>
  <si>
    <t>Churches in Mission with ISI</t>
  </si>
  <si>
    <t>You Have a Friend in ISI</t>
  </si>
  <si>
    <t>Welcome Home</t>
  </si>
  <si>
    <t>Sub-total</t>
  </si>
  <si>
    <t>Shipping and handling</t>
  </si>
  <si>
    <t>Item #</t>
  </si>
  <si>
    <t>Bible Studies</t>
  </si>
  <si>
    <t>B-001</t>
  </si>
  <si>
    <t>B-002</t>
  </si>
  <si>
    <t>B-003</t>
  </si>
  <si>
    <t>B-004</t>
  </si>
  <si>
    <t>B-005</t>
  </si>
  <si>
    <t>B-006</t>
  </si>
  <si>
    <t>B-007</t>
  </si>
  <si>
    <t>B-008</t>
  </si>
  <si>
    <t>B-009</t>
  </si>
  <si>
    <t>B-010</t>
  </si>
  <si>
    <t>B-011</t>
  </si>
  <si>
    <t>B-012</t>
  </si>
  <si>
    <t>B-013</t>
  </si>
  <si>
    <t>B-014</t>
  </si>
  <si>
    <t>How Will They Hear?</t>
  </si>
  <si>
    <t>Meeting God, Student's version</t>
  </si>
  <si>
    <t>The Challenge: Victory</t>
  </si>
  <si>
    <t>B-015</t>
  </si>
  <si>
    <t>The Way to Life</t>
  </si>
  <si>
    <t>Total Amount</t>
  </si>
  <si>
    <t>Booklets</t>
  </si>
  <si>
    <t>K-001</t>
  </si>
  <si>
    <t>K-002</t>
  </si>
  <si>
    <t>K-003</t>
  </si>
  <si>
    <t>K-004</t>
  </si>
  <si>
    <t>K-005</t>
  </si>
  <si>
    <t>K-006</t>
  </si>
  <si>
    <t>K-007</t>
  </si>
  <si>
    <t>K-008</t>
  </si>
  <si>
    <t>Is Jesus the Only Way to God?</t>
  </si>
  <si>
    <t>New Beginnings Discussion Guide</t>
  </si>
  <si>
    <t>New Beginnings Video/Discussion Set</t>
  </si>
  <si>
    <t>How to Share…With Your African Friend</t>
  </si>
  <si>
    <t>How to Share…With Your International Friend</t>
  </si>
  <si>
    <t>How to Share…With Your Japanese Friend</t>
  </si>
  <si>
    <t>How to Share…With Your Muslim Friend</t>
  </si>
  <si>
    <t>How to Study the Bible…International Friend</t>
  </si>
  <si>
    <t>Reaching Students…People's Republic of China</t>
  </si>
  <si>
    <t>Preparing Your…Friend for Life Back Home</t>
  </si>
  <si>
    <t>Additional Resources</t>
  </si>
  <si>
    <t>G-001</t>
  </si>
  <si>
    <t>G-002</t>
  </si>
  <si>
    <t>G-003</t>
  </si>
  <si>
    <t>G-004</t>
  </si>
  <si>
    <t>G-006</t>
  </si>
  <si>
    <t>G-007</t>
  </si>
  <si>
    <t>G-008</t>
  </si>
  <si>
    <t>G-009</t>
  </si>
  <si>
    <t>G-010</t>
  </si>
  <si>
    <t>G-011</t>
  </si>
  <si>
    <t>G-012</t>
  </si>
  <si>
    <t>G-013</t>
  </si>
  <si>
    <t>G-014</t>
  </si>
  <si>
    <t>G-015</t>
  </si>
  <si>
    <t>G-016</t>
  </si>
  <si>
    <t>G-019</t>
  </si>
  <si>
    <t>G-022</t>
  </si>
  <si>
    <t>G-023</t>
  </si>
  <si>
    <t>G-024</t>
  </si>
  <si>
    <t>An American Friend Handbook</t>
  </si>
  <si>
    <t>Compact Guide to World Religions</t>
  </si>
  <si>
    <t>How to Survive in the US</t>
  </si>
  <si>
    <t>Knowing God Personally (audio tape set)</t>
  </si>
  <si>
    <t>Let's Talk About It</t>
  </si>
  <si>
    <t>Revival Signs</t>
  </si>
  <si>
    <t>The World at Your Door</t>
  </si>
  <si>
    <t>Think Home</t>
  </si>
  <si>
    <t>Foreign Missions In Your Own Backyard</t>
  </si>
  <si>
    <t xml:space="preserve">Who Is This Jesus? Student's version </t>
  </si>
  <si>
    <t>Laws of Revival</t>
  </si>
  <si>
    <t>ISI Informational CD-ROM</t>
  </si>
  <si>
    <t>P-013</t>
  </si>
  <si>
    <t>Reach the World PSA CD</t>
  </si>
  <si>
    <t>FREE</t>
  </si>
  <si>
    <t>Country Profiles</t>
  </si>
  <si>
    <t>Cost</t>
  </si>
  <si>
    <t>Toll-free number for questions about your order: 800.474.4147, ext. 111</t>
  </si>
  <si>
    <t>Friendship Partners with ISI (training video)</t>
  </si>
  <si>
    <t>V-012</t>
  </si>
  <si>
    <t>(price does not include shipping from Jesus Film Project)</t>
  </si>
  <si>
    <t>Promotional Materials</t>
  </si>
  <si>
    <t>P-001</t>
  </si>
  <si>
    <t>Associate Brochure</t>
  </si>
  <si>
    <t>P-002</t>
  </si>
  <si>
    <t>P-004</t>
  </si>
  <si>
    <t>P-005</t>
  </si>
  <si>
    <t>P-007</t>
  </si>
  <si>
    <t>Statement of Faith Card (for each set of 25)</t>
  </si>
  <si>
    <t>You Have a Friend in the USA</t>
  </si>
  <si>
    <t>Reaching the World on American Colleges</t>
  </si>
  <si>
    <t>Looking For a Second Career</t>
  </si>
  <si>
    <t>P-008</t>
  </si>
  <si>
    <t>P-009</t>
  </si>
  <si>
    <t>P-010</t>
  </si>
  <si>
    <t>P-011</t>
  </si>
  <si>
    <t>P-014</t>
  </si>
  <si>
    <t>Multi-language thank you card with envelope</t>
  </si>
  <si>
    <t>Take Me to Your Leader (staff recruiting brochure)</t>
  </si>
  <si>
    <r>
      <t>Jesus</t>
    </r>
    <r>
      <rPr>
        <sz val="10"/>
        <rFont val="Arial"/>
        <family val="2"/>
      </rPr>
      <t xml:space="preserve"> video </t>
    </r>
  </si>
  <si>
    <t>Building Bridges with ISI  4.5 minutes</t>
  </si>
  <si>
    <t>Building Bridges with ISI  7 minutes</t>
  </si>
  <si>
    <t>Building Bridges with ISI  18  minutes</t>
  </si>
  <si>
    <t>How Can We Know the Bible is the Word…?</t>
  </si>
  <si>
    <t>Discovering God Bible study</t>
  </si>
  <si>
    <t>Walking With God Bible study</t>
  </si>
  <si>
    <t>Putting God First Bible study</t>
  </si>
  <si>
    <t>I Am, Student's version</t>
  </si>
  <si>
    <t>I Am, Leader's guide</t>
  </si>
  <si>
    <t>Jesus the Liberator, student's version</t>
  </si>
  <si>
    <t>Jesus the Liberator, leader's guide</t>
  </si>
  <si>
    <t>Meeting God, Leader's guide</t>
  </si>
  <si>
    <t>Growing Strong to Serve, student's version</t>
  </si>
  <si>
    <t>Growing Strong to Serve, leader's guide</t>
  </si>
  <si>
    <t xml:space="preserve">Becoming a Friend…Int'l. Student </t>
  </si>
  <si>
    <t>Getting Started with ISI  Volunteer Kit 1</t>
  </si>
  <si>
    <t>Who Is This Jesus? Leader's guide</t>
  </si>
  <si>
    <t>New Beginnings  Volunteer Kit 2</t>
  </si>
  <si>
    <t>Subtotal</t>
  </si>
  <si>
    <t>New Beginnings Video</t>
  </si>
  <si>
    <t>V-013</t>
  </si>
  <si>
    <t>Church Recruitment Video</t>
  </si>
  <si>
    <t>B-016</t>
  </si>
  <si>
    <t>B-017</t>
  </si>
  <si>
    <t>The Way to Life (traditional script Chinese)</t>
  </si>
  <si>
    <t>The Way to Life (Simplified script Chinese)</t>
  </si>
  <si>
    <t>Knowing God Personally per set of 10</t>
  </si>
  <si>
    <t>Knowing God Personally (Mandarin) per 10</t>
  </si>
  <si>
    <t>Developing Cell Groups with International Students</t>
  </si>
  <si>
    <t>Logo Items</t>
  </si>
  <si>
    <t>L-002</t>
  </si>
  <si>
    <t>Mock-neck Long sleeve T-shirts</t>
  </si>
  <si>
    <t>black:</t>
  </si>
  <si>
    <t xml:space="preserve">M </t>
  </si>
  <si>
    <t>L</t>
  </si>
  <si>
    <t>XL</t>
  </si>
  <si>
    <t>XXL</t>
  </si>
  <si>
    <t>T-Shirts</t>
  </si>
  <si>
    <t>L-004</t>
  </si>
  <si>
    <t>L-005</t>
  </si>
  <si>
    <t>grey:</t>
  </si>
  <si>
    <t>M</t>
  </si>
  <si>
    <t>L-006</t>
  </si>
  <si>
    <t>white:</t>
  </si>
  <si>
    <t>L-007</t>
  </si>
  <si>
    <t>blue:</t>
  </si>
  <si>
    <t>L-008</t>
  </si>
  <si>
    <t>Travel Mugs</t>
  </si>
  <si>
    <t>L-009</t>
  </si>
  <si>
    <t>Pens</t>
  </si>
  <si>
    <t>L-010</t>
  </si>
  <si>
    <t>Ceramic Coffee Mugs</t>
  </si>
  <si>
    <t>L-011</t>
  </si>
  <si>
    <t>Post-it Notes with ISI logo</t>
  </si>
  <si>
    <t>L-012</t>
  </si>
  <si>
    <t>Canvas Totebags</t>
  </si>
  <si>
    <t>G-025</t>
  </si>
  <si>
    <t>Ignite Your Passion for God</t>
  </si>
  <si>
    <t>Date:</t>
  </si>
  <si>
    <t>Qty. Ordered</t>
  </si>
  <si>
    <t>For accoutning use only</t>
  </si>
  <si>
    <t>L-013</t>
  </si>
  <si>
    <t>L-014</t>
  </si>
  <si>
    <t>V-014</t>
  </si>
  <si>
    <t>Sharing Your Faith through ISI</t>
  </si>
  <si>
    <t>V-015</t>
  </si>
  <si>
    <t>Sharing God With Others Bible study</t>
  </si>
  <si>
    <t>G-026</t>
  </si>
  <si>
    <t>The Christ Factor</t>
  </si>
  <si>
    <t>G-027</t>
  </si>
  <si>
    <t>Cultivating a Life for God</t>
  </si>
  <si>
    <t>Be Part of the Movement (affiliate brochure)</t>
  </si>
  <si>
    <t>Reaching Int'l. Students (FSA brochure)</t>
  </si>
  <si>
    <t>P-024</t>
  </si>
  <si>
    <t>Sharing Christ's Love with Int'l Students</t>
  </si>
  <si>
    <t>ISI logo notecard with envelope</t>
  </si>
  <si>
    <t>P-015</t>
  </si>
  <si>
    <t>P-016</t>
  </si>
  <si>
    <t>Donor Envelopes</t>
  </si>
  <si>
    <t xml:space="preserve">P-017 </t>
  </si>
  <si>
    <t>P-018</t>
  </si>
  <si>
    <t>Are You Globally Minded but Locally Placed?</t>
  </si>
  <si>
    <t>P-019</t>
  </si>
  <si>
    <t>P-020</t>
  </si>
  <si>
    <t>Website Cards: Organizational Website</t>
  </si>
  <si>
    <t>P-021</t>
  </si>
  <si>
    <t>Website Cards: Student Website</t>
  </si>
  <si>
    <t>P-022</t>
  </si>
  <si>
    <t>ISI Presentation Folders</t>
  </si>
  <si>
    <t>P-023</t>
  </si>
  <si>
    <t>ISI Material Order Form</t>
  </si>
  <si>
    <t>Long Sleeve Demin Shirts</t>
  </si>
  <si>
    <t>Grey Print Golf Shirts:</t>
  </si>
  <si>
    <t>Prices are effective October 1, 2001 and are subject to change without notice.</t>
  </si>
  <si>
    <t>fax 719.576.5363 or email aroland@isionline.org</t>
  </si>
  <si>
    <t>The Next Step</t>
  </si>
  <si>
    <t>Healing the Broken Family of Abraham</t>
  </si>
  <si>
    <t>G-028</t>
  </si>
  <si>
    <t>Seeds Take Root</t>
  </si>
  <si>
    <t>P-025</t>
  </si>
  <si>
    <t>P-026</t>
  </si>
  <si>
    <t>ISI Student Bookmark</t>
  </si>
  <si>
    <t>G-029</t>
  </si>
  <si>
    <t>Now You Can Know What Muslims Believe</t>
  </si>
  <si>
    <t>L-015</t>
  </si>
  <si>
    <t>Field staff</t>
  </si>
  <si>
    <t xml:space="preserve">Retail </t>
  </si>
  <si>
    <t>Affiliate</t>
  </si>
  <si>
    <t>Tax Exempt Number</t>
  </si>
  <si>
    <t>Shipping &amp; Handling Information</t>
  </si>
  <si>
    <t>Cost of Materials=S&amp;H: Under $10=$2.50; $10.01</t>
  </si>
  <si>
    <t>to $30=$5.95; $30.01 to $50=$6.95; $50.01 to $70=</t>
  </si>
  <si>
    <t>over $200 = $15.00</t>
  </si>
  <si>
    <t xml:space="preserve">Shipping covers ground transportation to US destinations only. </t>
  </si>
  <si>
    <t xml:space="preserve">Foreign, express or Saturday deliveries will be charged </t>
  </si>
  <si>
    <t xml:space="preserve">(to your credit card) at actual cost. </t>
  </si>
  <si>
    <t>Order Type</t>
  </si>
  <si>
    <t>G-030</t>
  </si>
  <si>
    <t>L-002M</t>
  </si>
  <si>
    <t>L-002XL</t>
  </si>
  <si>
    <t>L-002XXL</t>
  </si>
  <si>
    <t>L-002L</t>
  </si>
  <si>
    <t>(OTHER)</t>
  </si>
  <si>
    <t>P-OTH2</t>
  </si>
  <si>
    <t>P-OTH1</t>
  </si>
  <si>
    <t>L-004M</t>
  </si>
  <si>
    <t>L-004L</t>
  </si>
  <si>
    <t>L-004XL</t>
  </si>
  <si>
    <t>L-004XXL</t>
  </si>
  <si>
    <t>L-005M</t>
  </si>
  <si>
    <t>L-005L</t>
  </si>
  <si>
    <t>L-005XL</t>
  </si>
  <si>
    <t>L-005XXL</t>
  </si>
  <si>
    <t>L-006M</t>
  </si>
  <si>
    <t>L-006L</t>
  </si>
  <si>
    <t>L-006XL</t>
  </si>
  <si>
    <t>L-006XXL</t>
  </si>
  <si>
    <t>L-007M</t>
  </si>
  <si>
    <t>L-007L</t>
  </si>
  <si>
    <t>L-007XL</t>
  </si>
  <si>
    <t>L-007XXL</t>
  </si>
  <si>
    <t>L-009B</t>
  </si>
  <si>
    <t>L-009W</t>
  </si>
  <si>
    <t>L-013M</t>
  </si>
  <si>
    <t>L-013L</t>
  </si>
  <si>
    <t>L-013XL</t>
  </si>
  <si>
    <t>L-014L</t>
  </si>
  <si>
    <t>L-014XL</t>
  </si>
  <si>
    <t>L-014XXL</t>
  </si>
  <si>
    <t>Total Discount Recived</t>
  </si>
  <si>
    <t>Optional Shipping</t>
  </si>
  <si>
    <t>$8.25; $70.01 to $100=$9.25; $101 to $200=$10.95;</t>
  </si>
  <si>
    <t>ISI Logo Coaster</t>
  </si>
  <si>
    <t>Retail Quantity Discounts:  1-9 copies:retail price; 10-50 copies:15% off; 51-100 copies:25% off;</t>
  </si>
  <si>
    <t>100+ copies;30%off. Must be all one title to qualify for discount.</t>
  </si>
  <si>
    <t>L-OTH</t>
  </si>
  <si>
    <t>(Other)</t>
  </si>
  <si>
    <t>fld sale</t>
  </si>
  <si>
    <t>Billing Name:</t>
  </si>
  <si>
    <t>Phone :</t>
  </si>
  <si>
    <t>Ship To:</t>
  </si>
  <si>
    <t>Billing Address:</t>
  </si>
  <si>
    <t>Order Taken By:</t>
  </si>
  <si>
    <t>P-027</t>
  </si>
  <si>
    <t>P-028</t>
  </si>
  <si>
    <t>Thank you postcard</t>
  </si>
  <si>
    <t>Greetings postcard</t>
  </si>
  <si>
    <t>G-031</t>
  </si>
  <si>
    <t>Following Jesus</t>
  </si>
  <si>
    <t>G-032</t>
  </si>
  <si>
    <t>Sharing Jesus</t>
  </si>
  <si>
    <t>P-029</t>
  </si>
  <si>
    <t>P-030</t>
  </si>
  <si>
    <t>City Start-Up Kit</t>
  </si>
  <si>
    <t>One Section</t>
  </si>
  <si>
    <t>Two Sections</t>
  </si>
  <si>
    <t>Complete Manual</t>
  </si>
  <si>
    <t>P-029A</t>
  </si>
  <si>
    <t>P-029B</t>
  </si>
  <si>
    <t>P-029C</t>
  </si>
  <si>
    <t xml:space="preserve">1) Trainer  </t>
  </si>
  <si>
    <t>2) Leader</t>
  </si>
  <si>
    <t>3) Mobilizer</t>
  </si>
  <si>
    <t>City Mobilization Manual (Three Sections- Circle ones wanted)</t>
  </si>
  <si>
    <t>Real Love</t>
  </si>
  <si>
    <t>$                -</t>
  </si>
  <si>
    <t>G-033</t>
  </si>
  <si>
    <t>P-031</t>
  </si>
  <si>
    <t>Pray! Magnets</t>
  </si>
  <si>
    <t>P-032</t>
  </si>
  <si>
    <t>Bookmarks</t>
  </si>
  <si>
    <t>L-016</t>
  </si>
  <si>
    <t>Metallic Pens</t>
  </si>
  <si>
    <t>How to Develop an IS Ministry Quick Start</t>
  </si>
  <si>
    <t xml:space="preserve"> Church Team Leader Brochure</t>
  </si>
  <si>
    <t>Friendship Partner Ministry brochure</t>
  </si>
  <si>
    <t>Development Council brochure</t>
  </si>
  <si>
    <t>P-012</t>
  </si>
  <si>
    <t>Coming to America Brochure</t>
  </si>
  <si>
    <t>CO</t>
  </si>
  <si>
    <t>NJ</t>
  </si>
  <si>
    <t>TX</t>
  </si>
  <si>
    <t>NM</t>
  </si>
  <si>
    <t>AZ</t>
  </si>
  <si>
    <t>CA</t>
  </si>
  <si>
    <t>WA</t>
  </si>
  <si>
    <t>OR</t>
  </si>
  <si>
    <t>NV</t>
  </si>
  <si>
    <t>ID</t>
  </si>
  <si>
    <t>MT</t>
  </si>
  <si>
    <t>WY</t>
  </si>
  <si>
    <t>KS</t>
  </si>
  <si>
    <t>NE</t>
  </si>
  <si>
    <t>ND</t>
  </si>
  <si>
    <t>SD</t>
  </si>
  <si>
    <t>MN</t>
  </si>
  <si>
    <t>OK</t>
  </si>
  <si>
    <t>MI</t>
  </si>
  <si>
    <t>WI</t>
  </si>
  <si>
    <t>IN</t>
  </si>
  <si>
    <t>IL</t>
  </si>
  <si>
    <t>OH</t>
  </si>
  <si>
    <t>IA</t>
  </si>
  <si>
    <t>AL</t>
  </si>
  <si>
    <t>AR</t>
  </si>
  <si>
    <t>LA</t>
  </si>
  <si>
    <t>FL</t>
  </si>
  <si>
    <t>TN</t>
  </si>
  <si>
    <t>KY</t>
  </si>
  <si>
    <t>PA</t>
  </si>
  <si>
    <t>SC</t>
  </si>
  <si>
    <t>NC</t>
  </si>
  <si>
    <t>GA</t>
  </si>
  <si>
    <t>VA</t>
  </si>
  <si>
    <t>WV</t>
  </si>
  <si>
    <t>DC</t>
  </si>
  <si>
    <t>CT</t>
  </si>
  <si>
    <t>VT</t>
  </si>
  <si>
    <t>NY</t>
  </si>
  <si>
    <t>HI</t>
  </si>
  <si>
    <t>UT</t>
  </si>
  <si>
    <t>MS</t>
  </si>
  <si>
    <t>MO</t>
  </si>
  <si>
    <t>DE</t>
  </si>
  <si>
    <t>MD</t>
  </si>
  <si>
    <t>RI</t>
  </si>
  <si>
    <t>NH</t>
  </si>
  <si>
    <t>Sales Tax if Applicable</t>
  </si>
  <si>
    <t>MA</t>
  </si>
  <si>
    <t>ME</t>
  </si>
  <si>
    <t>Rcev'd By</t>
  </si>
  <si>
    <t>Date Ordered</t>
  </si>
  <si>
    <t xml:space="preserve">Date Sent </t>
  </si>
  <si>
    <t>Expires</t>
  </si>
  <si>
    <t>Acct/Card #:</t>
  </si>
  <si>
    <t>Email:</t>
  </si>
  <si>
    <t>Home</t>
  </si>
  <si>
    <t>Business</t>
  </si>
  <si>
    <t>.</t>
  </si>
  <si>
    <t>Retail Quantity Discounts:  1-9 copies:retail price; 10-49 copies:15% off; 50-99 copies:25% off;</t>
  </si>
  <si>
    <t>=</t>
  </si>
  <si>
    <t>$300.01 plus</t>
  </si>
  <si>
    <t>$200.01 to $300.00</t>
  </si>
  <si>
    <t>$100.01 to $200.00</t>
  </si>
  <si>
    <t>$70.01 to $100.00</t>
  </si>
  <si>
    <t>$50.01 to $70.00</t>
  </si>
  <si>
    <t>$30.01 to $50.00</t>
  </si>
  <si>
    <t>$10.01 to $30.00</t>
  </si>
  <si>
    <t>Under $10.00</t>
  </si>
  <si>
    <t>*S&amp;H fees are based on total before discount</t>
  </si>
  <si>
    <t>AK</t>
  </si>
  <si>
    <t>State</t>
  </si>
  <si>
    <t>Tax Rate</t>
  </si>
  <si>
    <t>MN City</t>
  </si>
  <si>
    <t>V-003D</t>
  </si>
  <si>
    <t xml:space="preserve">Reources can also be ordered on line at www.isionline.org </t>
  </si>
  <si>
    <t>V-004D</t>
  </si>
  <si>
    <t>V-009D</t>
  </si>
  <si>
    <t>V-010D</t>
  </si>
  <si>
    <t>V-014D</t>
  </si>
  <si>
    <t>B-001P</t>
  </si>
  <si>
    <t>B-002P</t>
  </si>
  <si>
    <t>B-003P</t>
  </si>
  <si>
    <t>B-004P</t>
  </si>
  <si>
    <t>B-005P</t>
  </si>
  <si>
    <t>B-006P</t>
  </si>
  <si>
    <t>B-007P</t>
  </si>
  <si>
    <t>B-008P</t>
  </si>
  <si>
    <t>B-009P</t>
  </si>
  <si>
    <t>B-015P</t>
  </si>
  <si>
    <t>B-010P</t>
  </si>
  <si>
    <t>B-011P</t>
  </si>
  <si>
    <t>K-001P</t>
  </si>
  <si>
    <t>K-002P</t>
  </si>
  <si>
    <t>K-003P</t>
  </si>
  <si>
    <t>K-004P</t>
  </si>
  <si>
    <t>K-005P</t>
  </si>
  <si>
    <t>K-006P</t>
  </si>
  <si>
    <t>K-007P</t>
  </si>
  <si>
    <t>K-008P</t>
  </si>
  <si>
    <t>P-003</t>
  </si>
  <si>
    <t>G-035</t>
  </si>
  <si>
    <t>G-036</t>
  </si>
  <si>
    <t>G-037</t>
  </si>
  <si>
    <r>
      <t xml:space="preserve">City Mobilizer Manual </t>
    </r>
    <r>
      <rPr>
        <sz val="9"/>
        <rFont val="Arial"/>
        <family val="2"/>
      </rPr>
      <t>(includes Church Team Trainer &amp; Church Team Leader)</t>
    </r>
  </si>
  <si>
    <t>G-038</t>
  </si>
  <si>
    <t>GV-001</t>
  </si>
  <si>
    <t>G-034</t>
  </si>
  <si>
    <t>GV-002</t>
  </si>
  <si>
    <t>GV-003</t>
  </si>
  <si>
    <t>Easy Giving Plan Cards</t>
  </si>
  <si>
    <t xml:space="preserve">Pastor's Package </t>
  </si>
  <si>
    <t>P-040</t>
  </si>
  <si>
    <t>Books</t>
  </si>
  <si>
    <t>G-039</t>
  </si>
  <si>
    <t>For accounting use only</t>
  </si>
  <si>
    <t>P-041</t>
  </si>
  <si>
    <t>G-040</t>
  </si>
  <si>
    <t>Qty. Shipped</t>
  </si>
  <si>
    <t>G-041</t>
  </si>
  <si>
    <t>Total Discount Received</t>
  </si>
  <si>
    <t>B-018P</t>
  </si>
  <si>
    <t>Church Team Leader Manual - part 1</t>
  </si>
  <si>
    <t>Church Team Trainer Manual - part 2</t>
  </si>
  <si>
    <t>Truth Card - 7 Universal Truths</t>
  </si>
  <si>
    <t>Training Resources</t>
  </si>
  <si>
    <t>Additional  Resources</t>
  </si>
  <si>
    <t>Greetings Postcard</t>
  </si>
  <si>
    <t>P-043</t>
  </si>
  <si>
    <t>p-043</t>
  </si>
  <si>
    <t>ISI Water Bottle (16 oz)</t>
  </si>
  <si>
    <t>Included in Price</t>
  </si>
  <si>
    <t>FEDEX</t>
  </si>
  <si>
    <t>POST OFF</t>
  </si>
  <si>
    <t>Sales Rep Use Only</t>
  </si>
  <si>
    <t xml:space="preserve"> </t>
  </si>
  <si>
    <t>P-006</t>
  </si>
  <si>
    <t>ISI Generic Letterhead (8 1/2 x 11)</t>
  </si>
  <si>
    <t>Complimentary Items</t>
  </si>
  <si>
    <t>Pick Up</t>
  </si>
  <si>
    <t>L-001</t>
  </si>
  <si>
    <t>Cost/item</t>
  </si>
  <si>
    <t>Free</t>
  </si>
  <si>
    <t>(Min, Staff)</t>
  </si>
  <si>
    <t>Project #</t>
  </si>
  <si>
    <t>Knowing God Personally per set of 20</t>
  </si>
  <si>
    <t>L-017</t>
  </si>
  <si>
    <t>L-018</t>
  </si>
  <si>
    <t>Life's Deepest Questions</t>
  </si>
  <si>
    <t xml:space="preserve">Resources can also be ordered on line at www.isionline.org </t>
  </si>
  <si>
    <t>Resources Available From International Students Inc.</t>
  </si>
  <si>
    <t>G-001P</t>
  </si>
  <si>
    <t>G-001p</t>
  </si>
  <si>
    <t>P-003p</t>
  </si>
  <si>
    <t>G-005</t>
  </si>
  <si>
    <t>New Horizons, Adjusting to Life Back Home</t>
  </si>
  <si>
    <t>actual cost of shipping</t>
  </si>
  <si>
    <t>according to S&amp;H</t>
  </si>
  <si>
    <t>G-042</t>
  </si>
  <si>
    <t>G-043</t>
  </si>
  <si>
    <t>G-044</t>
  </si>
  <si>
    <t>G-045</t>
  </si>
  <si>
    <t>G-046</t>
  </si>
  <si>
    <t>Date Materials Needed:</t>
  </si>
  <si>
    <t>L-003</t>
  </si>
  <si>
    <t>ISI Pens -Burgandy w/ bands w/ website</t>
  </si>
  <si>
    <t>Actual</t>
  </si>
  <si>
    <t>Markup</t>
  </si>
  <si>
    <t>TOTal</t>
  </si>
  <si>
    <t>JV-001</t>
  </si>
  <si>
    <t>JV-002</t>
  </si>
  <si>
    <t>JV-004</t>
  </si>
  <si>
    <t>JV-006</t>
  </si>
  <si>
    <t>JV-007</t>
  </si>
  <si>
    <t>JV-008</t>
  </si>
  <si>
    <t>JV-009</t>
  </si>
  <si>
    <t>ISI DVDs</t>
  </si>
  <si>
    <t>Coming to America</t>
  </si>
  <si>
    <t>Islam (pdf only)</t>
  </si>
  <si>
    <t>100+ copies; 30%off. Must be all one title to qualify for discount.</t>
  </si>
  <si>
    <t xml:space="preserve">Shipping covers ground transportation USPS to US destinations only. Foreign, express, Saturday delivery, free items, or other carriers (UPS, FedEx, etc) will be charged based on actual cost. </t>
  </si>
  <si>
    <t>Recruitment Postor Set (2 poster &amp; cards)</t>
  </si>
  <si>
    <t>Multi-Language Thank You Card</t>
  </si>
  <si>
    <t>G-006p</t>
  </si>
  <si>
    <t>K-009</t>
  </si>
  <si>
    <t>Reaching Hindu International Students</t>
  </si>
  <si>
    <t>ret</t>
  </si>
  <si>
    <t>G-005P</t>
  </si>
  <si>
    <t>New Horizons, Adjusting to Life Back Home (PDF)</t>
  </si>
  <si>
    <t>P-003P</t>
  </si>
  <si>
    <t>G-026P</t>
  </si>
  <si>
    <t>G-034P</t>
  </si>
  <si>
    <t>G-047P</t>
  </si>
  <si>
    <t>G-026p</t>
  </si>
  <si>
    <t>G-034p</t>
  </si>
  <si>
    <t>G-047p</t>
  </si>
  <si>
    <t>G-005p</t>
  </si>
  <si>
    <t>V-002D</t>
  </si>
  <si>
    <t>V-005D</t>
  </si>
  <si>
    <t>G-029D</t>
  </si>
  <si>
    <t>P-024D</t>
  </si>
  <si>
    <t xml:space="preserve">Sharing Your Faith through ISI </t>
  </si>
  <si>
    <t xml:space="preserve">The Church and ISI - includes 7 min, 4 min, &amp; bonus Material </t>
  </si>
  <si>
    <t xml:space="preserve">Welcome Home </t>
  </si>
  <si>
    <t>staff</t>
  </si>
  <si>
    <t>P-024d</t>
  </si>
  <si>
    <t>V-005d</t>
  </si>
  <si>
    <t>V-002d</t>
  </si>
  <si>
    <t>(fld, par, ret)</t>
  </si>
  <si>
    <t>How to Survive in the US (PDF)</t>
  </si>
  <si>
    <t>God's Word for the World -- International Student Bible (each)</t>
  </si>
  <si>
    <t>G-006P</t>
  </si>
  <si>
    <r>
      <t>Brochures</t>
    </r>
    <r>
      <rPr>
        <b/>
        <i/>
        <sz val="11"/>
        <color indexed="10"/>
        <rFont val="Book Antiqua"/>
        <family val="1"/>
      </rPr>
      <t xml:space="preserve"> (sold in groups of 10)</t>
    </r>
  </si>
  <si>
    <r>
      <t xml:space="preserve">Knowing God Personally (Mandarin) </t>
    </r>
    <r>
      <rPr>
        <sz val="10"/>
        <color indexed="10"/>
        <rFont val="Arial"/>
        <family val="2"/>
      </rPr>
      <t>per set of 20</t>
    </r>
  </si>
  <si>
    <r>
      <t xml:space="preserve">Knowing God Personally </t>
    </r>
    <r>
      <rPr>
        <sz val="10"/>
        <color indexed="10"/>
        <rFont val="Arial"/>
        <family val="2"/>
      </rPr>
      <t>per set of 20</t>
    </r>
  </si>
  <si>
    <r>
      <t xml:space="preserve">Multi-Language Thank You Cards w/envelopes </t>
    </r>
    <r>
      <rPr>
        <sz val="10"/>
        <color indexed="10"/>
        <rFont val="Arial"/>
        <family val="2"/>
      </rPr>
      <t>(set of 10)</t>
    </r>
  </si>
  <si>
    <t>An American Friend Handbook (PDF)</t>
  </si>
  <si>
    <t>Foreign Missions in Your Own Backyard (PDF)</t>
  </si>
  <si>
    <t>Development Council Implementation Guide (PDF)</t>
  </si>
  <si>
    <t>Development Council Model/Case Study (PDF)</t>
  </si>
  <si>
    <t>International Women's Connection (PDF)</t>
  </si>
  <si>
    <t>Walking With God Bible study - Book 2 of the Discovering God Studies</t>
  </si>
  <si>
    <t>Putting God First Bible study - Book 3 of the Discovering God Studies</t>
  </si>
  <si>
    <t>K-010</t>
  </si>
  <si>
    <t>Reaching Muslim International Students</t>
  </si>
  <si>
    <t>Preparing Your International Friend for Life Back Home (PDF)</t>
  </si>
  <si>
    <t>Becoming a Friend With an International Student (PDF)</t>
  </si>
  <si>
    <t>How to Share the Good News With Your International Friend (PDF)</t>
  </si>
  <si>
    <t>How to Share the Good News With Your Japanese Friend (PDF)</t>
  </si>
  <si>
    <t>How to Share The Good News With Your African Friend (PDF)</t>
  </si>
  <si>
    <t>How to Share the Good New With Your Muslim Friend (PDF)</t>
  </si>
  <si>
    <t>Reaching Students From the People's Republic of China (PDF)</t>
  </si>
  <si>
    <t>How to Study the Bible With Your International Friend (PDF)</t>
  </si>
  <si>
    <t>The Way to Life (PDF)</t>
  </si>
  <si>
    <t>The Challenge:  Victory (PDF)</t>
  </si>
  <si>
    <t>Discovering God Bible study (PDF)</t>
  </si>
  <si>
    <t>Putting God First Bible Study (PDF)</t>
  </si>
  <si>
    <t>Sharing God With Others Bible study (PDF)</t>
  </si>
  <si>
    <t>Walking with God Bible study (PDF)</t>
  </si>
  <si>
    <t>How Will They Hear? (PDF)</t>
  </si>
  <si>
    <t>I Am, Student's version (PDF)</t>
  </si>
  <si>
    <t>I Am, Leader's guide (PDF)</t>
  </si>
  <si>
    <t>Jesus Christ - bible study in simple English (PDF)</t>
  </si>
  <si>
    <t>Jesus the Liberator, leader's guide (PDF)</t>
  </si>
  <si>
    <t>Jesus the Liberator, student's version (PDF)</t>
  </si>
  <si>
    <t>Meeting God, Leader's guide (PDF)</t>
  </si>
  <si>
    <t>Meeting God, Student's version (PDF)</t>
  </si>
  <si>
    <t>7 Universal Truths by Dr. Shaw</t>
  </si>
  <si>
    <t>Life's Deepest Question by Dr. Shaw</t>
  </si>
  <si>
    <t>ISI Promotional DVD - 45 second and 3 minute presentation</t>
  </si>
  <si>
    <r>
      <rPr>
        <b/>
        <i/>
        <sz val="10"/>
        <color indexed="10"/>
        <rFont val="Arial"/>
        <family val="2"/>
      </rPr>
      <t>Retail Only Quantity Discounts:</t>
    </r>
    <r>
      <rPr>
        <i/>
        <sz val="10"/>
        <rFont val="Arial"/>
        <family val="2"/>
      </rPr>
      <t xml:space="preserve">  1-9 copies:retail price; 10-49 copies:15% off; 50-99 copies:25% off;</t>
    </r>
  </si>
  <si>
    <t>75% markup</t>
  </si>
  <si>
    <t>fld</t>
  </si>
  <si>
    <r>
      <t>Brochures</t>
    </r>
    <r>
      <rPr>
        <b/>
        <i/>
        <sz val="11"/>
        <color indexed="10"/>
        <rFont val="Book Antiqua"/>
        <family val="1"/>
      </rPr>
      <t xml:space="preserve"> </t>
    </r>
  </si>
  <si>
    <r>
      <t>Truth Card - 7 Universal Truths</t>
    </r>
    <r>
      <rPr>
        <sz val="10"/>
        <color indexed="10"/>
        <rFont val="Arial"/>
        <family val="2"/>
      </rPr>
      <t xml:space="preserve"> (sold in set of 10)</t>
    </r>
  </si>
  <si>
    <t>K-011</t>
  </si>
  <si>
    <t>K-012</t>
  </si>
  <si>
    <t>Returning to China</t>
  </si>
  <si>
    <t>Returning to China - Believers</t>
  </si>
  <si>
    <t>International Student Advisor Packet (FSA)</t>
  </si>
  <si>
    <t>Pastor's Packet</t>
  </si>
  <si>
    <t>Rrider</t>
  </si>
  <si>
    <t>Following Jesus by Dr. Shaw (PDF)</t>
  </si>
  <si>
    <t>Sharing Jesus by Dr. Shaw (PDF)</t>
  </si>
  <si>
    <t>ISI Water Bottle</t>
  </si>
  <si>
    <t>ISI Blue Tote Bag</t>
  </si>
  <si>
    <t>Book - World Religion 45252</t>
  </si>
  <si>
    <t>Sales - Gen Materials 41100</t>
  </si>
  <si>
    <t>Pick One</t>
  </si>
  <si>
    <t>Total Amount to Charge New Employee</t>
  </si>
  <si>
    <t>Amount to Charged to People Services (2104)</t>
  </si>
  <si>
    <t>Statement of Faith Card</t>
  </si>
  <si>
    <t>Ceramic Mug</t>
  </si>
  <si>
    <t>ISI Letterhead</t>
  </si>
  <si>
    <r>
      <rPr>
        <b/>
        <i/>
        <sz val="11"/>
        <color indexed="62"/>
        <rFont val="Book Antiqua"/>
        <family val="1"/>
      </rPr>
      <t xml:space="preserve">Country Profiles </t>
    </r>
    <r>
      <rPr>
        <b/>
        <i/>
        <sz val="11"/>
        <rFont val="Book Antiqua"/>
        <family val="1"/>
      </rPr>
      <t xml:space="preserve">      </t>
    </r>
    <r>
      <rPr>
        <b/>
        <i/>
        <sz val="11"/>
        <color indexed="10"/>
        <rFont val="Book Antiqua"/>
        <family val="1"/>
      </rPr>
      <t xml:space="preserve">   </t>
    </r>
    <r>
      <rPr>
        <b/>
        <i/>
        <sz val="11"/>
        <rFont val="Book Antiqua"/>
        <family val="1"/>
      </rPr>
      <t xml:space="preserve">                                                                        </t>
    </r>
    <r>
      <rPr>
        <b/>
        <i/>
        <sz val="10"/>
        <rFont val="Book Antiqua"/>
        <family val="1"/>
      </rPr>
      <t>(available on line by email in PDF format at no charge)</t>
    </r>
  </si>
  <si>
    <r>
      <rPr>
        <b/>
        <i/>
        <sz val="11"/>
        <color indexed="60"/>
        <rFont val="Book Antiqua"/>
        <family val="1"/>
      </rPr>
      <t xml:space="preserve">Religion Profiles </t>
    </r>
    <r>
      <rPr>
        <b/>
        <i/>
        <sz val="11"/>
        <rFont val="Book Antiqua"/>
        <family val="1"/>
      </rPr>
      <t xml:space="preserve">      </t>
    </r>
    <r>
      <rPr>
        <b/>
        <i/>
        <sz val="11"/>
        <rFont val="Book Antiqua"/>
        <family val="1"/>
      </rPr>
      <t xml:space="preserve">                                                                              </t>
    </r>
    <r>
      <rPr>
        <b/>
        <i/>
        <sz val="10"/>
        <rFont val="Book Antiqua"/>
        <family val="1"/>
      </rPr>
      <t>(available on line by email in PDF format at no charge)</t>
    </r>
  </si>
  <si>
    <t>The Christ Factor:  Book 1 (PDF)</t>
  </si>
  <si>
    <t>The Christ Factor:  Seeds Take Root - Book 2 (PDF)</t>
  </si>
  <si>
    <t>The Christ Factor:  Real Look - Book 3 (PDF)</t>
  </si>
  <si>
    <t>ISI Umbrella</t>
  </si>
  <si>
    <t>ISI Blanket</t>
  </si>
  <si>
    <t>K-013</t>
  </si>
  <si>
    <t>Returning to Japan</t>
  </si>
  <si>
    <t>Reaching World Leaders</t>
  </si>
  <si>
    <t xml:space="preserve">Getting Started with ISI </t>
  </si>
  <si>
    <t xml:space="preserve">Who Knows? (College Recruitment </t>
  </si>
  <si>
    <t>Church Mobilization Training (FP Training &amp; Leader)</t>
  </si>
  <si>
    <t>(par, ret)</t>
  </si>
  <si>
    <t>PDFs / Online Resources</t>
  </si>
  <si>
    <t>fax 719.576.5363 or email orders@isionline.org</t>
  </si>
  <si>
    <t>Because of You/Because of ISI</t>
  </si>
  <si>
    <t>New Donor Envelopes (per box of 500)</t>
  </si>
  <si>
    <t>CRE Envelopes (per box of 500)</t>
  </si>
  <si>
    <t>Prices are effective April 2018 and are subject to change without notice.</t>
  </si>
  <si>
    <t>J. Snyder</t>
  </si>
  <si>
    <t>ISI Scarves</t>
  </si>
  <si>
    <t>ISI Shirts</t>
  </si>
  <si>
    <t>ISI Logo Notecard (pk of 10)</t>
  </si>
  <si>
    <t>ISI Notecard (pk of 10)</t>
  </si>
  <si>
    <t>ISI scarves</t>
  </si>
  <si>
    <t>Foreign Missions in Your Own Backyard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</si>
</sst>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dd\-yy"/>
    <numFmt numFmtId="166" formatCode="[&lt;=9999999]###\-####;\(###\)\ ###\-####"/>
    <numFmt numFmtId="167" formatCode="0.0%"/>
    <numFmt numFmtId="168" formatCode="mm/yy"/>
    <numFmt numFmtId="169" formatCode="00000"/>
    <numFmt numFmtId="170" formatCode="0.0"/>
  </numFmts>
  <fonts count="7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Book Antiqua"/>
      <family val="1"/>
    </font>
    <font>
      <i/>
      <sz val="10"/>
      <name val="Arial"/>
      <family val="2"/>
    </font>
    <font>
      <sz val="10"/>
      <name val="Incised901 NdIt BT"/>
      <family val="2"/>
    </font>
    <font>
      <sz val="10"/>
      <name val="Arial"/>
      <family val="2"/>
    </font>
    <font>
      <sz val="10"/>
      <color indexed="9"/>
      <name val="Incised901 NdIt BT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i/>
      <sz val="10"/>
      <color indexed="55"/>
      <name val="Book Antiqua"/>
      <family val="1"/>
    </font>
    <font>
      <b/>
      <sz val="10"/>
      <color indexed="55"/>
      <name val="Arial"/>
      <family val="2"/>
    </font>
    <font>
      <i/>
      <sz val="10"/>
      <color indexed="54"/>
      <name val="Book Antiqua"/>
      <family val="1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b/>
      <sz val="8"/>
      <name val="Arial"/>
      <family val="2"/>
    </font>
    <font>
      <b/>
      <i/>
      <sz val="11"/>
      <name val="Book Antiqua"/>
      <family val="1"/>
    </font>
    <font>
      <b/>
      <i/>
      <sz val="10"/>
      <name val="Book Antiqua"/>
      <family val="1"/>
    </font>
    <font>
      <b/>
      <sz val="10"/>
      <color indexed="9"/>
      <name val="Arial"/>
      <family val="2"/>
    </font>
    <font>
      <i/>
      <sz val="10"/>
      <color indexed="9"/>
      <name val="Book Antiqua"/>
      <family val="1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sz val="5.5"/>
      <name val="Arial"/>
      <family val="2"/>
    </font>
    <font>
      <sz val="10"/>
      <name val="Book Antiqua"/>
      <family val="1"/>
    </font>
    <font>
      <sz val="10"/>
      <color indexed="9"/>
      <name val="Book Antiqua"/>
      <family val="1"/>
    </font>
    <font>
      <sz val="10"/>
      <color indexed="54"/>
      <name val="Book Antiqua"/>
      <family val="1"/>
    </font>
    <font>
      <sz val="11"/>
      <name val="Book Antiqua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1"/>
      <color indexed="62"/>
      <name val="Book Antiqua"/>
      <family val="1"/>
    </font>
    <font>
      <b/>
      <i/>
      <sz val="11"/>
      <color indexed="60"/>
      <name val="Book Antiqua"/>
      <family val="1"/>
    </font>
    <font>
      <sz val="10"/>
      <color indexed="10"/>
      <name val="Arial"/>
      <family val="2"/>
    </font>
    <font>
      <b/>
      <i/>
      <sz val="11"/>
      <color indexed="10"/>
      <name val="Book Antiqua"/>
      <family val="1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sz val="10"/>
      <color rgb="FF92D050"/>
      <name val="Arial"/>
      <family val="2"/>
    </font>
    <font>
      <b/>
      <sz val="10"/>
      <color theme="0" tint="-0.34998626667073579"/>
      <name val="Arial"/>
      <family val="2"/>
    </font>
    <font>
      <sz val="10"/>
      <color theme="6" tint="0.7999816888943144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249977111117893"/>
      <name val="Arial"/>
      <family val="2"/>
    </font>
    <font>
      <i/>
      <sz val="10"/>
      <color rgb="FFEAEAEA"/>
      <name val="Book Antiqua"/>
      <family val="1"/>
    </font>
    <font>
      <sz val="10"/>
      <color theme="6" tint="0.59999389629810485"/>
      <name val="Arial"/>
      <family val="2"/>
    </font>
    <font>
      <sz val="9"/>
      <color rgb="FF92D050"/>
      <name val="Arial"/>
      <family val="2"/>
    </font>
    <font>
      <i/>
      <sz val="10"/>
      <color theme="9" tint="-0.249977111117893"/>
      <name val="Book Antiqua"/>
      <family val="1"/>
    </font>
    <font>
      <i/>
      <sz val="10"/>
      <color rgb="FFCCCC00"/>
      <name val="Book Antiqua"/>
      <family val="1"/>
    </font>
    <font>
      <i/>
      <sz val="10"/>
      <color theme="6" tint="-0.249977111117893"/>
      <name val="Book Antiqua"/>
      <family val="1"/>
    </font>
    <font>
      <i/>
      <sz val="10"/>
      <color theme="5" tint="0.39997558519241921"/>
      <name val="Book Antiqua"/>
      <family val="1"/>
    </font>
    <font>
      <i/>
      <sz val="10"/>
      <color theme="6" tint="0.39997558519241921"/>
      <name val="Book Antiqua"/>
      <family val="1"/>
    </font>
    <font>
      <i/>
      <sz val="10"/>
      <color theme="9" tint="-0.499984740745262"/>
      <name val="Book Antiqua"/>
      <family val="1"/>
    </font>
    <font>
      <i/>
      <sz val="10"/>
      <color theme="7" tint="0.39997558519241921"/>
      <name val="Book Antiqua"/>
      <family val="1"/>
    </font>
    <font>
      <i/>
      <sz val="10"/>
      <color theme="4" tint="-0.249977111117893"/>
      <name val="Book Antiqua"/>
      <family val="1"/>
    </font>
    <font>
      <sz val="10"/>
      <color theme="2" tint="-0.749992370372631"/>
      <name val="Arial"/>
      <family val="2"/>
    </font>
    <font>
      <sz val="10"/>
      <color theme="5" tint="0.39997558519241921"/>
      <name val="Arial"/>
      <family val="2"/>
    </font>
    <font>
      <i/>
      <sz val="10"/>
      <color theme="0" tint="-4.9989318521683403E-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rgb="FFFF0000"/>
      <name val="Book Antiqua"/>
      <family val="1"/>
    </font>
    <font>
      <sz val="10"/>
      <color rgb="FF00B050"/>
      <name val="Arial"/>
      <family val="2"/>
    </font>
    <font>
      <sz val="10"/>
      <color theme="0" tint="-4.9989318521683403E-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27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/>
    <xf numFmtId="9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0" fillId="0" borderId="0" xfId="0" applyAlignment="1"/>
    <xf numFmtId="0" fontId="7" fillId="0" borderId="5" xfId="0" applyFont="1" applyBorder="1" applyAlignment="1" applyProtection="1"/>
    <xf numFmtId="0" fontId="7" fillId="0" borderId="6" xfId="0" applyFont="1" applyBorder="1" applyAlignment="1" applyProtection="1"/>
    <xf numFmtId="0" fontId="7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4" xfId="0" applyFont="1" applyBorder="1" applyAlignment="1" applyProtection="1"/>
    <xf numFmtId="0" fontId="2" fillId="2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7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14" fontId="10" fillId="0" borderId="4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>
      <alignment horizontal="left"/>
    </xf>
    <xf numFmtId="0" fontId="4" fillId="0" borderId="6" xfId="0" applyFont="1" applyBorder="1" applyAlignment="1" applyProtection="1"/>
    <xf numFmtId="0" fontId="4" fillId="0" borderId="8" xfId="0" applyFont="1" applyBorder="1" applyAlignment="1" applyProtection="1"/>
    <xf numFmtId="0" fontId="4" fillId="0" borderId="1" xfId="0" applyFont="1" applyBorder="1" applyAlignment="1" applyProtection="1"/>
    <xf numFmtId="0" fontId="4" fillId="0" borderId="7" xfId="0" applyFont="1" applyBorder="1" applyAlignment="1" applyProtection="1"/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Alignment="1" applyProtection="1"/>
    <xf numFmtId="9" fontId="4" fillId="0" borderId="0" xfId="0" applyNumberFormat="1" applyFont="1" applyAlignment="1" applyProtection="1"/>
    <xf numFmtId="0" fontId="3" fillId="0" borderId="4" xfId="0" applyFont="1" applyBorder="1" applyAlignment="1" applyProtection="1"/>
    <xf numFmtId="0" fontId="3" fillId="0" borderId="8" xfId="0" applyFont="1" applyBorder="1" applyAlignment="1" applyProtection="1"/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8" fontId="3" fillId="0" borderId="4" xfId="0" applyNumberFormat="1" applyFont="1" applyBorder="1" applyAlignment="1" applyProtection="1"/>
    <xf numFmtId="44" fontId="3" fillId="0" borderId="4" xfId="2" applyFont="1" applyBorder="1" applyAlignment="1" applyProtection="1"/>
    <xf numFmtId="0" fontId="3" fillId="0" borderId="0" xfId="0" applyFont="1" applyAlignment="1" applyProtection="1"/>
    <xf numFmtId="0" fontId="2" fillId="3" borderId="8" xfId="0" applyFont="1" applyFill="1" applyBorder="1" applyAlignment="1" applyProtection="1"/>
    <xf numFmtId="0" fontId="2" fillId="3" borderId="1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right"/>
    </xf>
    <xf numFmtId="0" fontId="3" fillId="3" borderId="0" xfId="0" applyFont="1" applyFill="1" applyAlignment="1" applyProtection="1"/>
    <xf numFmtId="44" fontId="2" fillId="3" borderId="4" xfId="0" applyNumberFormat="1" applyFont="1" applyFill="1" applyBorder="1" applyAlignment="1" applyProtection="1"/>
    <xf numFmtId="0" fontId="4" fillId="0" borderId="4" xfId="0" applyFont="1" applyBorder="1" applyAlignment="1" applyProtection="1"/>
    <xf numFmtId="0" fontId="3" fillId="3" borderId="8" xfId="0" applyFont="1" applyFill="1" applyBorder="1" applyAlignment="1" applyProtection="1"/>
    <xf numFmtId="44" fontId="2" fillId="3" borderId="4" xfId="2" applyFont="1" applyFill="1" applyBorder="1" applyAlignment="1" applyProtection="1"/>
    <xf numFmtId="0" fontId="5" fillId="0" borderId="8" xfId="0" applyFont="1" applyBorder="1" applyAlignment="1" applyProtection="1"/>
    <xf numFmtId="0" fontId="5" fillId="0" borderId="1" xfId="0" applyFont="1" applyBorder="1" applyAlignment="1" applyProtection="1"/>
    <xf numFmtId="0" fontId="5" fillId="0" borderId="7" xfId="0" applyFont="1" applyBorder="1" applyAlignment="1" applyProtection="1"/>
    <xf numFmtId="0" fontId="3" fillId="0" borderId="4" xfId="0" applyFont="1" applyFill="1" applyBorder="1" applyAlignment="1" applyProtection="1"/>
    <xf numFmtId="0" fontId="4" fillId="0" borderId="8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/>
    <xf numFmtId="44" fontId="4" fillId="0" borderId="4" xfId="0" applyNumberFormat="1" applyFont="1" applyFill="1" applyBorder="1" applyAlignment="1" applyProtection="1"/>
    <xf numFmtId="0" fontId="3" fillId="0" borderId="4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44" fontId="7" fillId="3" borderId="4" xfId="0" applyNumberFormat="1" applyFont="1" applyFill="1" applyBorder="1" applyAlignment="1" applyProtection="1"/>
    <xf numFmtId="44" fontId="7" fillId="0" borderId="4" xfId="0" applyNumberFormat="1" applyFont="1" applyFill="1" applyBorder="1" applyAlignment="1" applyProtection="1"/>
    <xf numFmtId="44" fontId="3" fillId="3" borderId="4" xfId="0" applyNumberFormat="1" applyFont="1" applyFill="1" applyBorder="1" applyAlignment="1" applyProtection="1"/>
    <xf numFmtId="0" fontId="5" fillId="0" borderId="4" xfId="0" applyFont="1" applyBorder="1" applyAlignment="1" applyProtection="1"/>
    <xf numFmtId="0" fontId="5" fillId="0" borderId="0" xfId="0" applyFont="1" applyAlignment="1" applyProtection="1"/>
    <xf numFmtId="44" fontId="3" fillId="3" borderId="4" xfId="2" applyFont="1" applyFill="1" applyBorder="1" applyAlignment="1" applyProtection="1"/>
    <xf numFmtId="0" fontId="7" fillId="0" borderId="9" xfId="0" applyFont="1" applyBorder="1" applyAlignment="1" applyProtection="1"/>
    <xf numFmtId="0" fontId="3" fillId="0" borderId="9" xfId="0" applyFont="1" applyFill="1" applyBorder="1" applyAlignment="1" applyProtection="1">
      <alignment horizontal="right"/>
    </xf>
    <xf numFmtId="0" fontId="3" fillId="0" borderId="9" xfId="0" applyFont="1" applyBorder="1" applyAlignment="1" applyProtection="1"/>
    <xf numFmtId="164" fontId="3" fillId="0" borderId="9" xfId="0" applyNumberFormat="1" applyFont="1" applyFill="1" applyBorder="1" applyAlignment="1" applyProtection="1"/>
    <xf numFmtId="0" fontId="5" fillId="0" borderId="8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/>
    <xf numFmtId="164" fontId="3" fillId="0" borderId="10" xfId="0" applyNumberFormat="1" applyFont="1" applyFill="1" applyBorder="1" applyAlignment="1" applyProtection="1"/>
    <xf numFmtId="0" fontId="3" fillId="0" borderId="8" xfId="0" applyFont="1" applyFill="1" applyBorder="1" applyAlignment="1" applyProtection="1"/>
    <xf numFmtId="44" fontId="3" fillId="0" borderId="7" xfId="0" applyNumberFormat="1" applyFont="1" applyFill="1" applyBorder="1" applyAlignment="1" applyProtection="1"/>
    <xf numFmtId="0" fontId="3" fillId="0" borderId="8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/>
    <xf numFmtId="0" fontId="3" fillId="0" borderId="11" xfId="0" applyFont="1" applyBorder="1" applyAlignment="1" applyProtection="1"/>
    <xf numFmtId="164" fontId="3" fillId="0" borderId="11" xfId="0" applyNumberFormat="1" applyFont="1" applyFill="1" applyBorder="1" applyAlignment="1" applyProtection="1"/>
    <xf numFmtId="0" fontId="3" fillId="4" borderId="1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44" fontId="3" fillId="4" borderId="6" xfId="2" applyFont="1" applyFill="1" applyBorder="1" applyAlignment="1" applyProtection="1"/>
    <xf numFmtId="44" fontId="3" fillId="0" borderId="0" xfId="0" applyNumberFormat="1" applyFont="1" applyAlignment="1" applyProtection="1"/>
    <xf numFmtId="0" fontId="3" fillId="4" borderId="1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right"/>
    </xf>
    <xf numFmtId="0" fontId="3" fillId="4" borderId="4" xfId="0" applyFont="1" applyFill="1" applyBorder="1" applyAlignment="1" applyProtection="1">
      <alignment horizontal="center"/>
    </xf>
    <xf numFmtId="44" fontId="3" fillId="4" borderId="4" xfId="0" applyNumberFormat="1" applyFont="1" applyFill="1" applyBorder="1" applyAlignment="1" applyProtection="1"/>
    <xf numFmtId="0" fontId="2" fillId="4" borderId="7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center"/>
    </xf>
    <xf numFmtId="44" fontId="2" fillId="4" borderId="4" xfId="0" applyNumberFormat="1" applyFont="1" applyFill="1" applyBorder="1" applyAlignment="1" applyProtection="1"/>
    <xf numFmtId="0" fontId="11" fillId="0" borderId="0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2" borderId="7" xfId="0" applyFont="1" applyFill="1" applyBorder="1" applyAlignment="1" applyProtection="1">
      <alignment horizontal="right"/>
      <protection locked="0"/>
    </xf>
    <xf numFmtId="8" fontId="3" fillId="0" borderId="4" xfId="0" applyNumberFormat="1" applyFont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left"/>
    </xf>
    <xf numFmtId="0" fontId="3" fillId="3" borderId="7" xfId="0" applyFont="1" applyFill="1" applyBorder="1" applyAlignment="1" applyProtection="1"/>
    <xf numFmtId="0" fontId="2" fillId="0" borderId="1" xfId="0" applyFont="1" applyBorder="1" applyAlignment="1" applyProtection="1"/>
    <xf numFmtId="0" fontId="3" fillId="3" borderId="1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44" fontId="7" fillId="0" borderId="7" xfId="2" applyFont="1" applyFill="1" applyBorder="1" applyAlignment="1" applyProtection="1"/>
    <xf numFmtId="0" fontId="3" fillId="4" borderId="8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44" fontId="3" fillId="4" borderId="4" xfId="0" applyNumberFormat="1" applyFont="1" applyFill="1" applyBorder="1" applyAlignment="1" applyProtection="1">
      <alignment horizontal="center"/>
    </xf>
    <xf numFmtId="44" fontId="3" fillId="4" borderId="4" xfId="2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9" fontId="3" fillId="4" borderId="6" xfId="4" applyFont="1" applyFill="1" applyBorder="1" applyAlignment="1" applyProtection="1">
      <alignment horizontal="center"/>
      <protection locked="0"/>
    </xf>
    <xf numFmtId="2" fontId="7" fillId="0" borderId="0" xfId="0" applyNumberFormat="1" applyFont="1" applyAlignment="1" applyProtection="1"/>
    <xf numFmtId="2" fontId="7" fillId="0" borderId="4" xfId="0" applyNumberFormat="1" applyFont="1" applyBorder="1" applyAlignment="1" applyProtection="1"/>
    <xf numFmtId="2" fontId="2" fillId="0" borderId="0" xfId="0" applyNumberFormat="1" applyFont="1" applyAlignment="1" applyProtection="1"/>
    <xf numFmtId="2" fontId="4" fillId="0" borderId="0" xfId="0" applyNumberFormat="1" applyFont="1" applyAlignment="1" applyProtection="1"/>
    <xf numFmtId="2" fontId="3" fillId="0" borderId="0" xfId="0" applyNumberFormat="1" applyFont="1" applyAlignment="1" applyProtection="1"/>
    <xf numFmtId="14" fontId="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/>
    <xf numFmtId="0" fontId="2" fillId="0" borderId="8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</xf>
    <xf numFmtId="0" fontId="2" fillId="2" borderId="0" xfId="0" applyFont="1" applyFill="1" applyAlignment="1" applyProtection="1"/>
    <xf numFmtId="0" fontId="2" fillId="0" borderId="1" xfId="0" applyFont="1" applyFill="1" applyBorder="1" applyAlignment="1" applyProtection="1">
      <alignment horizontal="right"/>
      <protection locked="0"/>
    </xf>
    <xf numFmtId="0" fontId="10" fillId="0" borderId="8" xfId="0" applyFont="1" applyFill="1" applyBorder="1" applyAlignment="1" applyProtection="1"/>
    <xf numFmtId="0" fontId="2" fillId="0" borderId="8" xfId="0" applyFont="1" applyBorder="1" applyAlignment="1" applyProtection="1">
      <alignment horizontal="right"/>
    </xf>
    <xf numFmtId="44" fontId="3" fillId="4" borderId="6" xfId="0" applyNumberFormat="1" applyFont="1" applyFill="1" applyBorder="1" applyAlignment="1" applyProtection="1"/>
    <xf numFmtId="0" fontId="3" fillId="0" borderId="1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165" fontId="2" fillId="2" borderId="12" xfId="0" applyNumberFormat="1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protection locked="0"/>
    </xf>
    <xf numFmtId="0" fontId="3" fillId="0" borderId="8" xfId="0" applyFont="1" applyBorder="1" applyAlignment="1" applyProtection="1">
      <alignment horizontal="right"/>
    </xf>
    <xf numFmtId="0" fontId="3" fillId="0" borderId="4" xfId="0" applyFont="1" applyFill="1" applyBorder="1" applyAlignment="1" applyProtection="1">
      <protection locked="0"/>
    </xf>
    <xf numFmtId="44" fontId="3" fillId="0" borderId="4" xfId="2" applyFont="1" applyFill="1" applyBorder="1" applyAlignment="1" applyProtection="1"/>
    <xf numFmtId="0" fontId="2" fillId="3" borderId="4" xfId="0" applyFont="1" applyFill="1" applyBorder="1" applyAlignment="1" applyProtection="1"/>
    <xf numFmtId="8" fontId="3" fillId="3" borderId="4" xfId="0" applyNumberFormat="1" applyFont="1" applyFill="1" applyBorder="1" applyAlignment="1" applyProtection="1"/>
    <xf numFmtId="0" fontId="7" fillId="3" borderId="4" xfId="0" applyFont="1" applyFill="1" applyBorder="1" applyAlignment="1" applyProtection="1"/>
    <xf numFmtId="0" fontId="3" fillId="3" borderId="4" xfId="0" applyFont="1" applyFill="1" applyBorder="1" applyAlignment="1" applyProtection="1"/>
    <xf numFmtId="167" fontId="0" fillId="0" borderId="0" xfId="4" applyNumberFormat="1" applyFont="1"/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/>
    <xf numFmtId="0" fontId="2" fillId="0" borderId="4" xfId="0" applyFont="1" applyBorder="1" applyAlignment="1" applyProtection="1">
      <alignment horizontal="right"/>
    </xf>
    <xf numFmtId="0" fontId="12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2" borderId="4" xfId="0" applyFont="1" applyFill="1" applyBorder="1" applyAlignment="1" applyProtection="1">
      <protection locked="0"/>
    </xf>
    <xf numFmtId="9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</xf>
    <xf numFmtId="0" fontId="0" fillId="0" borderId="11" xfId="0" applyBorder="1" applyAlignment="1" applyProtection="1"/>
    <xf numFmtId="14" fontId="10" fillId="0" borderId="6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165" fontId="2" fillId="2" borderId="4" xfId="0" applyNumberFormat="1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right"/>
    </xf>
    <xf numFmtId="0" fontId="15" fillId="2" borderId="7" xfId="0" applyFont="1" applyFill="1" applyBorder="1" applyAlignment="1" applyProtection="1">
      <protection locked="0"/>
    </xf>
    <xf numFmtId="0" fontId="11" fillId="0" borderId="1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8" fontId="0" fillId="0" borderId="10" xfId="0" applyNumberFormat="1" applyBorder="1" applyAlignment="1" applyProtection="1">
      <alignment horizontal="left" vertical="center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quotePrefix="1" applyFont="1" applyBorder="1" applyAlignment="1" applyProtection="1">
      <alignment horizontal="center"/>
    </xf>
    <xf numFmtId="8" fontId="3" fillId="0" borderId="10" xfId="2" applyNumberFormat="1" applyFont="1" applyBorder="1" applyAlignment="1" applyProtection="1">
      <alignment horizontal="left"/>
    </xf>
    <xf numFmtId="0" fontId="7" fillId="0" borderId="14" xfId="0" applyFont="1" applyBorder="1" applyAlignment="1" applyProtection="1"/>
    <xf numFmtId="8" fontId="3" fillId="0" borderId="10" xfId="0" applyNumberFormat="1" applyFont="1" applyFill="1" applyBorder="1" applyAlignment="1" applyProtection="1">
      <alignment horizontal="left"/>
    </xf>
    <xf numFmtId="8" fontId="3" fillId="0" borderId="10" xfId="0" applyNumberFormat="1" applyFont="1" applyBorder="1" applyAlignment="1" applyProtection="1">
      <alignment horizontal="left"/>
    </xf>
    <xf numFmtId="10" fontId="0" fillId="0" borderId="0" xfId="4" applyNumberFormat="1" applyFont="1"/>
    <xf numFmtId="168" fontId="7" fillId="2" borderId="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/>
    <xf numFmtId="0" fontId="18" fillId="0" borderId="0" xfId="0" applyFont="1" applyAlignment="1" applyProtection="1"/>
    <xf numFmtId="9" fontId="19" fillId="0" borderId="0" xfId="0" applyNumberFormat="1" applyFont="1" applyAlignment="1" applyProtection="1"/>
    <xf numFmtId="2" fontId="19" fillId="0" borderId="0" xfId="0" applyNumberFormat="1" applyFont="1" applyAlignment="1" applyProtection="1"/>
    <xf numFmtId="0" fontId="20" fillId="0" borderId="0" xfId="0" applyFont="1" applyAlignment="1" applyProtection="1"/>
    <xf numFmtId="2" fontId="20" fillId="0" borderId="0" xfId="0" applyNumberFormat="1" applyFont="1" applyAlignment="1" applyProtection="1"/>
    <xf numFmtId="0" fontId="21" fillId="0" borderId="0" xfId="0" applyFont="1" applyBorder="1" applyAlignment="1" applyProtection="1"/>
    <xf numFmtId="2" fontId="21" fillId="0" borderId="0" xfId="0" applyNumberFormat="1" applyFont="1" applyBorder="1" applyAlignment="1" applyProtection="1"/>
    <xf numFmtId="0" fontId="20" fillId="0" borderId="0" xfId="0" applyFont="1" applyBorder="1" applyAlignment="1" applyProtection="1">
      <alignment horizontal="center"/>
    </xf>
    <xf numFmtId="0" fontId="21" fillId="0" borderId="0" xfId="0" applyFont="1" applyAlignment="1" applyProtection="1"/>
    <xf numFmtId="2" fontId="21" fillId="0" borderId="0" xfId="0" applyNumberFormat="1" applyFont="1" applyAlignment="1" applyProtection="1"/>
    <xf numFmtId="0" fontId="20" fillId="0" borderId="0" xfId="0" applyFont="1" applyBorder="1" applyAlignment="1" applyProtection="1"/>
    <xf numFmtId="0" fontId="20" fillId="2" borderId="0" xfId="0" applyFont="1" applyFill="1" applyBorder="1" applyAlignment="1" applyProtection="1"/>
    <xf numFmtId="0" fontId="19" fillId="0" borderId="0" xfId="0" applyFont="1" applyAlignment="1" applyProtection="1"/>
    <xf numFmtId="0" fontId="22" fillId="0" borderId="0" xfId="0" applyFont="1" applyAlignment="1" applyProtection="1"/>
    <xf numFmtId="2" fontId="22" fillId="0" borderId="0" xfId="0" applyNumberFormat="1" applyFont="1" applyAlignment="1" applyProtection="1"/>
    <xf numFmtId="0" fontId="23" fillId="0" borderId="0" xfId="0" applyFont="1" applyAlignment="1" applyProtection="1"/>
    <xf numFmtId="0" fontId="3" fillId="4" borderId="1" xfId="0" applyFont="1" applyFill="1" applyBorder="1" applyAlignment="1" applyProtection="1">
      <alignment horizontal="left"/>
    </xf>
    <xf numFmtId="44" fontId="24" fillId="4" borderId="4" xfId="0" applyNumberFormat="1" applyFont="1" applyFill="1" applyBorder="1" applyAlignment="1" applyProtection="1">
      <alignment horizontal="left"/>
    </xf>
    <xf numFmtId="0" fontId="30" fillId="0" borderId="0" xfId="0" applyFont="1" applyAlignment="1" applyProtection="1"/>
    <xf numFmtId="0" fontId="5" fillId="0" borderId="0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protection locked="0"/>
    </xf>
    <xf numFmtId="0" fontId="32" fillId="0" borderId="0" xfId="0" applyFont="1" applyAlignment="1" applyProtection="1"/>
    <xf numFmtId="14" fontId="8" fillId="0" borderId="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9" fontId="2" fillId="0" borderId="6" xfId="0" applyNumberFormat="1" applyFont="1" applyFill="1" applyBorder="1" applyAlignment="1" applyProtection="1">
      <alignment horizontal="left"/>
    </xf>
    <xf numFmtId="0" fontId="28" fillId="0" borderId="0" xfId="0" applyFont="1" applyAlignment="1" applyProtection="1">
      <alignment wrapText="1"/>
    </xf>
    <xf numFmtId="9" fontId="0" fillId="0" borderId="0" xfId="4" applyFont="1" applyProtection="1"/>
    <xf numFmtId="0" fontId="16" fillId="0" borderId="14" xfId="0" applyFont="1" applyBorder="1" applyAlignment="1" applyProtection="1">
      <alignment horizontal="left" vertical="top"/>
    </xf>
    <xf numFmtId="169" fontId="2" fillId="2" borderId="4" xfId="0" applyNumberFormat="1" applyFont="1" applyFill="1" applyBorder="1" applyAlignment="1" applyProtection="1">
      <alignment horizontal="left"/>
      <protection locked="0"/>
    </xf>
    <xf numFmtId="2" fontId="46" fillId="0" borderId="0" xfId="0" applyNumberFormat="1" applyFont="1" applyAlignment="1" applyProtection="1"/>
    <xf numFmtId="44" fontId="3" fillId="4" borderId="4" xfId="2" applyFont="1" applyFill="1" applyBorder="1" applyAlignment="1" applyProtection="1"/>
    <xf numFmtId="0" fontId="46" fillId="0" borderId="0" xfId="0" applyFont="1" applyAlignment="1" applyProtection="1"/>
    <xf numFmtId="0" fontId="27" fillId="0" borderId="14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34" fillId="0" borderId="0" xfId="0" applyFont="1" applyAlignment="1" applyProtection="1"/>
    <xf numFmtId="14" fontId="8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4" fontId="7" fillId="0" borderId="4" xfId="2" applyFont="1" applyFill="1" applyBorder="1" applyAlignment="1" applyProtection="1">
      <protection locked="0"/>
    </xf>
    <xf numFmtId="44" fontId="7" fillId="0" borderId="4" xfId="2" applyFont="1" applyFill="1" applyBorder="1" applyAlignment="1" applyProtection="1"/>
    <xf numFmtId="0" fontId="48" fillId="0" borderId="0" xfId="0" applyFont="1" applyAlignment="1" applyProtection="1"/>
    <xf numFmtId="44" fontId="24" fillId="4" borderId="4" xfId="0" applyNumberFormat="1" applyFont="1" applyFill="1" applyBorder="1" applyAlignment="1" applyProtection="1">
      <alignment horizontal="right"/>
    </xf>
    <xf numFmtId="8" fontId="3" fillId="5" borderId="4" xfId="0" applyNumberFormat="1" applyFont="1" applyFill="1" applyBorder="1" applyAlignment="1" applyProtection="1"/>
    <xf numFmtId="14" fontId="24" fillId="0" borderId="6" xfId="0" applyNumberFormat="1" applyFont="1" applyFill="1" applyBorder="1" applyAlignment="1" applyProtection="1">
      <alignment horizontal="left"/>
    </xf>
    <xf numFmtId="0" fontId="2" fillId="6" borderId="13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right"/>
    </xf>
    <xf numFmtId="0" fontId="10" fillId="6" borderId="13" xfId="0" applyFont="1" applyFill="1" applyBorder="1" applyAlignment="1" applyProtection="1">
      <alignment horizontal="right"/>
    </xf>
    <xf numFmtId="0" fontId="10" fillId="6" borderId="11" xfId="0" applyFont="1" applyFill="1" applyBorder="1" applyAlignment="1" applyProtection="1">
      <alignment horizontal="right"/>
    </xf>
    <xf numFmtId="0" fontId="10" fillId="6" borderId="5" xfId="0" applyFont="1" applyFill="1" applyBorder="1" applyAlignment="1" applyProtection="1">
      <alignment horizontal="right"/>
    </xf>
    <xf numFmtId="0" fontId="27" fillId="6" borderId="14" xfId="0" applyFont="1" applyFill="1" applyBorder="1" applyAlignment="1" applyProtection="1">
      <alignment horizontal="center"/>
    </xf>
    <xf numFmtId="0" fontId="20" fillId="6" borderId="0" xfId="0" applyFont="1" applyFill="1" applyBorder="1" applyAlignment="1" applyProtection="1">
      <alignment horizontal="center"/>
    </xf>
    <xf numFmtId="0" fontId="20" fillId="6" borderId="0" xfId="0" applyFont="1" applyFill="1" applyBorder="1" applyAlignment="1" applyProtection="1"/>
    <xf numFmtId="0" fontId="20" fillId="6" borderId="0" xfId="0" applyFont="1" applyFill="1" applyAlignment="1" applyProtection="1"/>
    <xf numFmtId="2" fontId="20" fillId="6" borderId="0" xfId="0" applyNumberFormat="1" applyFont="1" applyFill="1" applyAlignment="1" applyProtection="1"/>
    <xf numFmtId="0" fontId="2" fillId="6" borderId="0" xfId="0" applyFont="1" applyFill="1" applyAlignment="1" applyProtection="1"/>
    <xf numFmtId="0" fontId="3" fillId="4" borderId="6" xfId="0" applyFont="1" applyFill="1" applyBorder="1" applyAlignment="1" applyProtection="1">
      <alignment horizontal="center"/>
    </xf>
    <xf numFmtId="9" fontId="3" fillId="4" borderId="6" xfId="4" applyFont="1" applyFill="1" applyBorder="1" applyAlignment="1" applyProtection="1">
      <alignment horizontal="center"/>
    </xf>
    <xf numFmtId="8" fontId="3" fillId="0" borderId="4" xfId="0" applyNumberFormat="1" applyFont="1" applyFill="1" applyBorder="1" applyAlignment="1" applyProtection="1"/>
    <xf numFmtId="0" fontId="50" fillId="0" borderId="0" xfId="0" applyFont="1" applyAlignment="1" applyProtection="1"/>
    <xf numFmtId="0" fontId="10" fillId="0" borderId="4" xfId="0" applyFont="1" applyBorder="1" applyAlignment="1" applyProtection="1">
      <alignment horizontal="right"/>
    </xf>
    <xf numFmtId="8" fontId="2" fillId="4" borderId="4" xfId="0" applyNumberFormat="1" applyFont="1" applyFill="1" applyBorder="1" applyAlignment="1" applyProtection="1"/>
    <xf numFmtId="0" fontId="1" fillId="0" borderId="4" xfId="0" applyFont="1" applyBorder="1" applyAlignment="1" applyProtection="1"/>
    <xf numFmtId="0" fontId="1" fillId="0" borderId="8" xfId="0" applyFont="1" applyFill="1" applyBorder="1" applyAlignment="1" applyProtection="1">
      <alignment horizontal="left"/>
    </xf>
    <xf numFmtId="0" fontId="1" fillId="0" borderId="8" xfId="0" applyFont="1" applyBorder="1" applyAlignment="1" applyProtection="1"/>
    <xf numFmtId="0" fontId="1" fillId="0" borderId="4" xfId="0" applyFont="1" applyFill="1" applyBorder="1" applyAlignment="1" applyProtection="1"/>
    <xf numFmtId="44" fontId="1" fillId="0" borderId="4" xfId="2" applyFont="1" applyBorder="1" applyAlignment="1" applyProtection="1"/>
    <xf numFmtId="0" fontId="1" fillId="0" borderId="4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left"/>
    </xf>
    <xf numFmtId="0" fontId="51" fillId="0" borderId="0" xfId="0" applyFont="1" applyAlignment="1" applyProtection="1"/>
    <xf numFmtId="0" fontId="52" fillId="0" borderId="0" xfId="0" applyFont="1" applyAlignment="1" applyProtection="1"/>
    <xf numFmtId="44" fontId="51" fillId="0" borderId="0" xfId="0" applyNumberFormat="1" applyFont="1" applyAlignment="1" applyProtection="1"/>
    <xf numFmtId="0" fontId="1" fillId="0" borderId="1" xfId="0" applyFont="1" applyBorder="1" applyAlignment="1" applyProtection="1"/>
    <xf numFmtId="0" fontId="0" fillId="0" borderId="14" xfId="0" applyBorder="1" applyProtection="1"/>
    <xf numFmtId="0" fontId="2" fillId="6" borderId="4" xfId="0" applyFont="1" applyFill="1" applyBorder="1" applyAlignment="1" applyProtection="1"/>
    <xf numFmtId="0" fontId="2" fillId="6" borderId="8" xfId="0" applyFont="1" applyFill="1" applyBorder="1" applyAlignment="1" applyProtection="1"/>
    <xf numFmtId="0" fontId="2" fillId="6" borderId="7" xfId="0" applyFont="1" applyFill="1" applyBorder="1" applyAlignment="1" applyProtection="1"/>
    <xf numFmtId="0" fontId="38" fillId="0" borderId="7" xfId="0" applyFont="1" applyFill="1" applyBorder="1" applyAlignment="1" applyProtection="1"/>
    <xf numFmtId="0" fontId="1" fillId="0" borderId="0" xfId="0" applyFont="1" applyProtection="1"/>
    <xf numFmtId="0" fontId="47" fillId="0" borderId="0" xfId="0" applyFont="1" applyProtection="1"/>
    <xf numFmtId="0" fontId="4" fillId="0" borderId="13" xfId="0" applyFont="1" applyBorder="1" applyAlignment="1" applyProtection="1"/>
    <xf numFmtId="0" fontId="0" fillId="0" borderId="4" xfId="0" applyBorder="1" applyProtection="1"/>
    <xf numFmtId="0" fontId="0" fillId="0" borderId="0" xfId="4" applyNumberFormat="1" applyFont="1" applyProtection="1"/>
    <xf numFmtId="0" fontId="2" fillId="0" borderId="9" xfId="0" applyFont="1" applyBorder="1" applyAlignment="1" applyProtection="1"/>
    <xf numFmtId="0" fontId="2" fillId="0" borderId="0" xfId="0" applyFont="1" applyProtection="1"/>
    <xf numFmtId="0" fontId="2" fillId="0" borderId="0" xfId="4" applyNumberFormat="1" applyFont="1" applyProtection="1"/>
    <xf numFmtId="0" fontId="1" fillId="0" borderId="0" xfId="4" applyNumberFormat="1" applyFont="1" applyProtection="1"/>
    <xf numFmtId="0" fontId="1" fillId="0" borderId="9" xfId="0" applyFont="1" applyBorder="1" applyAlignment="1" applyProtection="1"/>
    <xf numFmtId="8" fontId="1" fillId="0" borderId="4" xfId="0" applyNumberFormat="1" applyFont="1" applyBorder="1" applyAlignment="1" applyProtection="1"/>
    <xf numFmtId="0" fontId="3" fillId="7" borderId="4" xfId="0" applyFont="1" applyFill="1" applyBorder="1" applyAlignment="1" applyProtection="1">
      <alignment horizontal="center"/>
      <protection locked="0"/>
    </xf>
    <xf numFmtId="9" fontId="55" fillId="7" borderId="6" xfId="4" applyFont="1" applyFill="1" applyBorder="1" applyAlignment="1" applyProtection="1">
      <alignment horizontal="center"/>
      <protection locked="0"/>
    </xf>
    <xf numFmtId="0" fontId="55" fillId="7" borderId="4" xfId="0" applyFont="1" applyFill="1" applyBorder="1" applyAlignment="1" applyProtection="1">
      <alignment horizontal="center"/>
      <protection locked="0"/>
    </xf>
    <xf numFmtId="44" fontId="1" fillId="4" borderId="4" xfId="2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" fontId="1" fillId="2" borderId="4" xfId="0" applyNumberFormat="1" applyFont="1" applyFill="1" applyBorder="1" applyAlignment="1" applyProtection="1">
      <protection locked="0"/>
    </xf>
    <xf numFmtId="168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29" fillId="0" borderId="0" xfId="0" applyFont="1" applyAlignment="1" applyProtection="1"/>
    <xf numFmtId="44" fontId="1" fillId="5" borderId="7" xfId="0" applyNumberFormat="1" applyFont="1" applyFill="1" applyBorder="1" applyAlignment="1" applyProtection="1"/>
    <xf numFmtId="44" fontId="1" fillId="4" borderId="6" xfId="2" applyFont="1" applyFill="1" applyBorder="1" applyAlignment="1" applyProtection="1"/>
    <xf numFmtId="44" fontId="1" fillId="4" borderId="6" xfId="0" applyNumberFormat="1" applyFont="1" applyFill="1" applyBorder="1" applyAlignment="1" applyProtection="1"/>
    <xf numFmtId="44" fontId="1" fillId="4" borderId="4" xfId="0" applyNumberFormat="1" applyFont="1" applyFill="1" applyBorder="1" applyAlignment="1" applyProtection="1">
      <alignment horizontal="center"/>
    </xf>
    <xf numFmtId="44" fontId="1" fillId="4" borderId="4" xfId="2" applyFont="1" applyFill="1" applyBorder="1" applyAlignment="1" applyProtection="1"/>
    <xf numFmtId="0" fontId="1" fillId="0" borderId="0" xfId="0" applyFont="1" applyAlignment="1" applyProtection="1">
      <alignment horizontal="center"/>
    </xf>
    <xf numFmtId="164" fontId="51" fillId="0" borderId="9" xfId="0" applyNumberFormat="1" applyFont="1" applyFill="1" applyBorder="1" applyAlignment="1" applyProtection="1"/>
    <xf numFmtId="43" fontId="51" fillId="0" borderId="0" xfId="1" applyFont="1" applyFill="1" applyBorder="1" applyAlignment="1" applyProtection="1"/>
    <xf numFmtId="164" fontId="51" fillId="0" borderId="0" xfId="0" applyNumberFormat="1" applyFont="1" applyFill="1" applyBorder="1" applyAlignment="1" applyProtection="1"/>
    <xf numFmtId="164" fontId="51" fillId="0" borderId="10" xfId="0" applyNumberFormat="1" applyFont="1" applyFill="1" applyBorder="1" applyAlignment="1" applyProtection="1"/>
    <xf numFmtId="0" fontId="51" fillId="0" borderId="9" xfId="0" applyFont="1" applyBorder="1" applyAlignment="1" applyProtection="1"/>
    <xf numFmtId="0" fontId="51" fillId="0" borderId="0" xfId="0" applyFont="1" applyBorder="1" applyAlignment="1" applyProtection="1"/>
    <xf numFmtId="9" fontId="2" fillId="0" borderId="0" xfId="4" applyFont="1" applyBorder="1" applyAlignment="1" applyProtection="1">
      <alignment horizontal="left"/>
    </xf>
    <xf numFmtId="9" fontId="2" fillId="0" borderId="1" xfId="4" applyFont="1" applyFill="1" applyBorder="1" applyAlignment="1" applyProtection="1"/>
    <xf numFmtId="9" fontId="1" fillId="0" borderId="4" xfId="4" applyFont="1" applyFill="1" applyBorder="1" applyAlignment="1" applyProtection="1">
      <alignment horizontal="left"/>
    </xf>
    <xf numFmtId="9" fontId="3" fillId="0" borderId="4" xfId="4" applyFont="1" applyBorder="1" applyAlignment="1" applyProtection="1"/>
    <xf numFmtId="9" fontId="47" fillId="0" borderId="0" xfId="4" applyFont="1" applyBorder="1" applyAlignment="1" applyProtection="1"/>
    <xf numFmtId="9" fontId="2" fillId="0" borderId="0" xfId="4" applyFont="1" applyProtection="1"/>
    <xf numFmtId="9" fontId="7" fillId="0" borderId="0" xfId="4" applyFont="1" applyBorder="1" applyAlignment="1" applyProtection="1"/>
    <xf numFmtId="9" fontId="2" fillId="0" borderId="0" xfId="4" applyFont="1" applyFill="1" applyBorder="1" applyAlignment="1" applyProtection="1">
      <alignment horizontal="center"/>
    </xf>
    <xf numFmtId="9" fontId="3" fillId="0" borderId="0" xfId="4" applyFont="1" applyFill="1" applyBorder="1" applyAlignment="1" applyProtection="1">
      <alignment horizontal="center" wrapText="1"/>
    </xf>
    <xf numFmtId="9" fontId="0" fillId="0" borderId="0" xfId="4" applyFont="1" applyFill="1" applyBorder="1" applyAlignment="1" applyProtection="1">
      <alignment horizontal="center"/>
    </xf>
    <xf numFmtId="9" fontId="7" fillId="0" borderId="0" xfId="4" applyFont="1" applyFill="1" applyBorder="1" applyAlignment="1" applyProtection="1">
      <alignment horizontal="center" wrapText="1"/>
    </xf>
    <xf numFmtId="9" fontId="3" fillId="0" borderId="0" xfId="4" applyFont="1" applyFill="1" applyBorder="1" applyAlignment="1" applyProtection="1">
      <alignment horizontal="center"/>
    </xf>
    <xf numFmtId="9" fontId="7" fillId="0" borderId="0" xfId="4" applyFont="1" applyFill="1" applyBorder="1" applyAlignment="1" applyProtection="1"/>
    <xf numFmtId="9" fontId="3" fillId="0" borderId="0" xfId="4" applyFont="1" applyAlignment="1" applyProtection="1">
      <alignment horizontal="center"/>
    </xf>
    <xf numFmtId="9" fontId="3" fillId="0" borderId="0" xfId="4" applyFont="1" applyAlignment="1" applyProtection="1"/>
    <xf numFmtId="9" fontId="7" fillId="0" borderId="0" xfId="4" applyFont="1" applyAlignment="1" applyProtection="1"/>
    <xf numFmtId="43" fontId="0" fillId="0" borderId="0" xfId="1" applyFont="1" applyProtection="1"/>
    <xf numFmtId="43" fontId="7" fillId="0" borderId="0" xfId="1" applyFont="1" applyAlignment="1" applyProtection="1"/>
    <xf numFmtId="43" fontId="2" fillId="0" borderId="0" xfId="1" applyFont="1" applyAlignment="1" applyProtection="1"/>
    <xf numFmtId="43" fontId="2" fillId="0" borderId="1" xfId="1" applyFont="1" applyFill="1" applyBorder="1" applyAlignment="1" applyProtection="1"/>
    <xf numFmtId="43" fontId="2" fillId="0" borderId="7" xfId="1" applyFont="1" applyFill="1" applyBorder="1" applyAlignment="1" applyProtection="1"/>
    <xf numFmtId="43" fontId="1" fillId="0" borderId="4" xfId="1" applyFont="1" applyFill="1" applyBorder="1" applyAlignment="1" applyProtection="1"/>
    <xf numFmtId="43" fontId="0" fillId="0" borderId="4" xfId="1" applyFont="1" applyBorder="1" applyProtection="1"/>
    <xf numFmtId="43" fontId="3" fillId="0" borderId="4" xfId="1" applyFont="1" applyBorder="1" applyAlignment="1" applyProtection="1"/>
    <xf numFmtId="43" fontId="9" fillId="0" borderId="4" xfId="1" applyFont="1" applyFill="1" applyBorder="1" applyProtection="1"/>
    <xf numFmtId="43" fontId="1" fillId="0" borderId="4" xfId="1" applyFont="1" applyFill="1" applyBorder="1" applyProtection="1"/>
    <xf numFmtId="43" fontId="1" fillId="0" borderId="4" xfId="1" applyFont="1" applyBorder="1" applyAlignment="1" applyProtection="1"/>
    <xf numFmtId="43" fontId="47" fillId="0" borderId="0" xfId="1" applyFont="1" applyFill="1" applyBorder="1" applyAlignment="1" applyProtection="1"/>
    <xf numFmtId="43" fontId="56" fillId="0" borderId="0" xfId="1" applyFont="1" applyFill="1" applyBorder="1" applyProtection="1"/>
    <xf numFmtId="43" fontId="47" fillId="0" borderId="0" xfId="1" applyFont="1" applyFill="1" applyBorder="1" applyProtection="1"/>
    <xf numFmtId="43" fontId="2" fillId="0" borderId="0" xfId="1" applyFont="1" applyProtection="1"/>
    <xf numFmtId="43" fontId="3" fillId="0" borderId="0" xfId="1" applyFont="1" applyBorder="1" applyAlignment="1" applyProtection="1"/>
    <xf numFmtId="43" fontId="3" fillId="0" borderId="0" xfId="1" applyFont="1" applyFill="1" applyBorder="1" applyAlignment="1" applyProtection="1">
      <alignment horizontal="right"/>
    </xf>
    <xf numFmtId="43" fontId="0" fillId="0" borderId="0" xfId="1" applyFont="1" applyFill="1" applyBorder="1" applyProtection="1"/>
    <xf numFmtId="43" fontId="3" fillId="0" borderId="0" xfId="1" applyFont="1" applyFill="1" applyBorder="1" applyAlignment="1" applyProtection="1">
      <alignment horizontal="center"/>
    </xf>
    <xf numFmtId="43" fontId="2" fillId="0" borderId="0" xfId="1" applyFont="1" applyFill="1" applyBorder="1" applyAlignment="1" applyProtection="1">
      <alignment horizontal="center"/>
    </xf>
    <xf numFmtId="43" fontId="5" fillId="0" borderId="0" xfId="1" applyFont="1" applyFill="1" applyBorder="1" applyAlignment="1" applyProtection="1">
      <alignment horizontal="center"/>
    </xf>
    <xf numFmtId="43" fontId="3" fillId="0" borderId="0" xfId="1" applyFont="1" applyAlignment="1" applyProtection="1">
      <alignment horizontal="center"/>
    </xf>
    <xf numFmtId="43" fontId="5" fillId="0" borderId="0" xfId="1" applyFont="1" applyAlignment="1" applyProtection="1">
      <alignment horizontal="center"/>
    </xf>
    <xf numFmtId="43" fontId="1" fillId="0" borderId="0" xfId="1" applyFont="1" applyProtection="1"/>
    <xf numFmtId="0" fontId="4" fillId="9" borderId="6" xfId="0" applyFont="1" applyFill="1" applyBorder="1" applyAlignment="1" applyProtection="1"/>
    <xf numFmtId="0" fontId="4" fillId="9" borderId="6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/>
    <xf numFmtId="8" fontId="3" fillId="8" borderId="4" xfId="0" applyNumberFormat="1" applyFont="1" applyFill="1" applyBorder="1" applyAlignment="1" applyProtection="1"/>
    <xf numFmtId="0" fontId="4" fillId="8" borderId="4" xfId="0" applyFont="1" applyFill="1" applyBorder="1" applyAlignment="1" applyProtection="1">
      <protection locked="0"/>
    </xf>
    <xf numFmtId="0" fontId="4" fillId="10" borderId="4" xfId="0" applyFont="1" applyFill="1" applyBorder="1" applyAlignment="1" applyProtection="1"/>
    <xf numFmtId="8" fontId="3" fillId="10" borderId="4" xfId="0" applyNumberFormat="1" applyFont="1" applyFill="1" applyBorder="1" applyAlignment="1" applyProtection="1"/>
    <xf numFmtId="0" fontId="4" fillId="10" borderId="4" xfId="0" applyFont="1" applyFill="1" applyBorder="1" applyAlignment="1" applyProtection="1">
      <protection locked="0"/>
    </xf>
    <xf numFmtId="0" fontId="4" fillId="11" borderId="4" xfId="0" applyFont="1" applyFill="1" applyBorder="1" applyAlignment="1" applyProtection="1"/>
    <xf numFmtId="8" fontId="3" fillId="11" borderId="4" xfId="0" applyNumberFormat="1" applyFont="1" applyFill="1" applyBorder="1" applyAlignment="1" applyProtection="1"/>
    <xf numFmtId="0" fontId="4" fillId="11" borderId="4" xfId="0" applyFont="1" applyFill="1" applyBorder="1" applyAlignment="1" applyProtection="1">
      <protection locked="0"/>
    </xf>
    <xf numFmtId="0" fontId="4" fillId="12" borderId="4" xfId="0" applyFont="1" applyFill="1" applyBorder="1" applyAlignment="1" applyProtection="1"/>
    <xf numFmtId="8" fontId="3" fillId="12" borderId="4" xfId="0" applyNumberFormat="1" applyFont="1" applyFill="1" applyBorder="1" applyAlignment="1" applyProtection="1"/>
    <xf numFmtId="0" fontId="4" fillId="12" borderId="4" xfId="0" applyFont="1" applyFill="1" applyBorder="1" applyAlignment="1" applyProtection="1">
      <protection locked="0"/>
    </xf>
    <xf numFmtId="0" fontId="4" fillId="13" borderId="4" xfId="0" applyFont="1" applyFill="1" applyBorder="1" applyAlignment="1" applyProtection="1"/>
    <xf numFmtId="8" fontId="3" fillId="13" borderId="4" xfId="0" applyNumberFormat="1" applyFont="1" applyFill="1" applyBorder="1" applyAlignment="1" applyProtection="1"/>
    <xf numFmtId="0" fontId="4" fillId="13" borderId="4" xfId="0" applyFont="1" applyFill="1" applyBorder="1" applyAlignment="1" applyProtection="1">
      <protection locked="0"/>
    </xf>
    <xf numFmtId="0" fontId="4" fillId="14" borderId="4" xfId="0" applyFont="1" applyFill="1" applyBorder="1" applyAlignment="1" applyProtection="1"/>
    <xf numFmtId="8" fontId="3" fillId="14" borderId="4" xfId="0" applyNumberFormat="1" applyFont="1" applyFill="1" applyBorder="1" applyAlignment="1" applyProtection="1"/>
    <xf numFmtId="0" fontId="4" fillId="14" borderId="4" xfId="0" applyFont="1" applyFill="1" applyBorder="1" applyAlignment="1" applyProtection="1">
      <protection locked="0"/>
    </xf>
    <xf numFmtId="0" fontId="4" fillId="15" borderId="4" xfId="0" applyFont="1" applyFill="1" applyBorder="1" applyAlignment="1" applyProtection="1"/>
    <xf numFmtId="8" fontId="3" fillId="15" borderId="4" xfId="0" applyNumberFormat="1" applyFont="1" applyFill="1" applyBorder="1" applyAlignment="1" applyProtection="1"/>
    <xf numFmtId="0" fontId="4" fillId="15" borderId="4" xfId="0" applyFont="1" applyFill="1" applyBorder="1" applyAlignment="1" applyProtection="1">
      <protection locked="0"/>
    </xf>
    <xf numFmtId="0" fontId="4" fillId="16" borderId="4" xfId="0" applyFont="1" applyFill="1" applyBorder="1" applyAlignment="1" applyProtection="1"/>
    <xf numFmtId="8" fontId="3" fillId="16" borderId="4" xfId="0" applyNumberFormat="1" applyFont="1" applyFill="1" applyBorder="1" applyAlignment="1" applyProtection="1"/>
    <xf numFmtId="0" fontId="4" fillId="16" borderId="4" xfId="0" applyFont="1" applyFill="1" applyBorder="1" applyAlignment="1" applyProtection="1">
      <protection locked="0"/>
    </xf>
    <xf numFmtId="44" fontId="4" fillId="11" borderId="4" xfId="0" applyNumberFormat="1" applyFont="1" applyFill="1" applyBorder="1" applyAlignment="1" applyProtection="1"/>
    <xf numFmtId="44" fontId="7" fillId="11" borderId="7" xfId="2" applyFont="1" applyFill="1" applyBorder="1" applyAlignment="1" applyProtection="1">
      <protection locked="0"/>
    </xf>
    <xf numFmtId="0" fontId="5" fillId="17" borderId="4" xfId="0" applyFont="1" applyFill="1" applyBorder="1" applyAlignment="1" applyProtection="1"/>
    <xf numFmtId="8" fontId="3" fillId="17" borderId="4" xfId="0" applyNumberFormat="1" applyFont="1" applyFill="1" applyBorder="1" applyAlignment="1" applyProtection="1"/>
    <xf numFmtId="8" fontId="3" fillId="17" borderId="4" xfId="0" applyNumberFormat="1" applyFont="1" applyFill="1" applyBorder="1" applyAlignment="1" applyProtection="1">
      <protection locked="0"/>
    </xf>
    <xf numFmtId="0" fontId="45" fillId="0" borderId="0" xfId="0" applyFont="1" applyAlignment="1" applyProtection="1">
      <alignment horizontal="right"/>
    </xf>
    <xf numFmtId="44" fontId="57" fillId="9" borderId="6" xfId="0" applyNumberFormat="1" applyFont="1" applyFill="1" applyBorder="1" applyAlignment="1" applyProtection="1">
      <alignment horizontal="center"/>
    </xf>
    <xf numFmtId="44" fontId="58" fillId="8" borderId="4" xfId="0" applyNumberFormat="1" applyFont="1" applyFill="1" applyBorder="1" applyAlignment="1" applyProtection="1"/>
    <xf numFmtId="44" fontId="59" fillId="10" borderId="4" xfId="0" applyNumberFormat="1" applyFont="1" applyFill="1" applyBorder="1" applyAlignment="1" applyProtection="1"/>
    <xf numFmtId="44" fontId="60" fillId="12" borderId="0" xfId="0" applyNumberFormat="1" applyFont="1" applyFill="1" applyAlignment="1" applyProtection="1"/>
    <xf numFmtId="44" fontId="61" fillId="14" borderId="4" xfId="0" applyNumberFormat="1" applyFont="1" applyFill="1" applyBorder="1" applyAlignment="1" applyProtection="1"/>
    <xf numFmtId="44" fontId="62" fillId="15" borderId="4" xfId="0" applyNumberFormat="1" applyFont="1" applyFill="1" applyBorder="1" applyAlignment="1" applyProtection="1"/>
    <xf numFmtId="44" fontId="63" fillId="16" borderId="4" xfId="0" applyNumberFormat="1" applyFont="1" applyFill="1" applyBorder="1" applyAlignment="1" applyProtection="1"/>
    <xf numFmtId="44" fontId="64" fillId="13" borderId="4" xfId="0" applyNumberFormat="1" applyFont="1" applyFill="1" applyBorder="1" applyAlignment="1" applyProtection="1"/>
    <xf numFmtId="44" fontId="65" fillId="11" borderId="4" xfId="0" applyNumberFormat="1" applyFont="1" applyFill="1" applyBorder="1" applyAlignment="1" applyProtection="1"/>
    <xf numFmtId="44" fontId="66" fillId="17" borderId="4" xfId="2" applyFont="1" applyFill="1" applyBorder="1" applyAlignment="1" applyProtection="1"/>
    <xf numFmtId="44" fontId="6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Protection="1"/>
    <xf numFmtId="9" fontId="1" fillId="0" borderId="0" xfId="4" applyFont="1" applyProtection="1"/>
    <xf numFmtId="0" fontId="0" fillId="0" borderId="0" xfId="0" applyBorder="1" applyProtection="1"/>
    <xf numFmtId="0" fontId="47" fillId="0" borderId="0" xfId="0" applyFont="1" applyBorder="1" applyProtection="1"/>
    <xf numFmtId="43" fontId="2" fillId="18" borderId="0" xfId="1" applyFont="1" applyFill="1" applyBorder="1" applyAlignment="1" applyProtection="1">
      <alignment horizontal="left"/>
      <protection locked="0"/>
    </xf>
    <xf numFmtId="43" fontId="2" fillId="18" borderId="8" xfId="1" applyFont="1" applyFill="1" applyBorder="1" applyAlignment="1" applyProtection="1">
      <protection locked="0"/>
    </xf>
    <xf numFmtId="43" fontId="1" fillId="18" borderId="4" xfId="1" applyFont="1" applyFill="1" applyBorder="1" applyAlignment="1" applyProtection="1">
      <alignment horizontal="left"/>
      <protection locked="0"/>
    </xf>
    <xf numFmtId="43" fontId="3" fillId="18" borderId="4" xfId="1" applyFont="1" applyFill="1" applyBorder="1" applyAlignment="1" applyProtection="1">
      <protection locked="0"/>
    </xf>
    <xf numFmtId="43" fontId="47" fillId="18" borderId="4" xfId="1" applyFont="1" applyFill="1" applyBorder="1" applyAlignment="1" applyProtection="1">
      <protection locked="0"/>
    </xf>
    <xf numFmtId="43" fontId="1" fillId="18" borderId="4" xfId="1" applyFont="1" applyFill="1" applyBorder="1" applyAlignment="1" applyProtection="1">
      <protection locked="0"/>
    </xf>
    <xf numFmtId="43" fontId="47" fillId="18" borderId="0" xfId="1" applyFont="1" applyFill="1" applyBorder="1" applyAlignment="1" applyProtection="1">
      <protection locked="0"/>
    </xf>
    <xf numFmtId="43" fontId="2" fillId="18" borderId="0" xfId="1" applyFont="1" applyFill="1" applyProtection="1">
      <protection locked="0"/>
    </xf>
    <xf numFmtId="43" fontId="7" fillId="18" borderId="0" xfId="1" applyFont="1" applyFill="1" applyBorder="1" applyAlignment="1" applyProtection="1">
      <protection locked="0"/>
    </xf>
    <xf numFmtId="43" fontId="2" fillId="18" borderId="0" xfId="1" applyFont="1" applyFill="1" applyBorder="1" applyAlignment="1" applyProtection="1">
      <alignment horizontal="center"/>
      <protection locked="0"/>
    </xf>
    <xf numFmtId="43" fontId="3" fillId="18" borderId="0" xfId="1" applyFont="1" applyFill="1" applyBorder="1" applyAlignment="1" applyProtection="1">
      <alignment horizontal="center" wrapText="1"/>
      <protection locked="0"/>
    </xf>
    <xf numFmtId="43" fontId="39" fillId="18" borderId="0" xfId="1" applyFont="1" applyFill="1" applyBorder="1" applyAlignment="1" applyProtection="1">
      <alignment horizontal="center"/>
      <protection locked="0"/>
    </xf>
    <xf numFmtId="43" fontId="7" fillId="18" borderId="0" xfId="1" applyFont="1" applyFill="1" applyBorder="1" applyAlignment="1" applyProtection="1">
      <alignment horizontal="center" wrapText="1"/>
      <protection locked="0"/>
    </xf>
    <xf numFmtId="43" fontId="3" fillId="18" borderId="0" xfId="1" applyFont="1" applyFill="1" applyBorder="1" applyAlignment="1" applyProtection="1">
      <alignment horizontal="center"/>
      <protection locked="0"/>
    </xf>
    <xf numFmtId="43" fontId="3" fillId="18" borderId="0" xfId="1" applyFont="1" applyFill="1" applyAlignment="1" applyProtection="1">
      <alignment horizontal="center"/>
      <protection locked="0"/>
    </xf>
    <xf numFmtId="43" fontId="3" fillId="18" borderId="0" xfId="1" applyFont="1" applyFill="1" applyAlignment="1" applyProtection="1">
      <protection locked="0"/>
    </xf>
    <xf numFmtId="43" fontId="7" fillId="18" borderId="0" xfId="1" applyFont="1" applyFill="1" applyAlignment="1" applyProtection="1">
      <protection locked="0"/>
    </xf>
    <xf numFmtId="0" fontId="0" fillId="19" borderId="0" xfId="0" applyFill="1" applyProtection="1">
      <protection locked="0"/>
    </xf>
    <xf numFmtId="0" fontId="47" fillId="19" borderId="0" xfId="0" applyFont="1" applyFill="1" applyProtection="1">
      <protection locked="0"/>
    </xf>
    <xf numFmtId="0" fontId="1" fillId="19" borderId="0" xfId="0" applyFont="1" applyFill="1" applyProtection="1">
      <protection locked="0"/>
    </xf>
    <xf numFmtId="0" fontId="2" fillId="19" borderId="0" xfId="0" applyFont="1" applyFill="1" applyProtection="1">
      <protection locked="0"/>
    </xf>
    <xf numFmtId="9" fontId="1" fillId="0" borderId="4" xfId="4" applyFont="1" applyBorder="1" applyAlignment="1" applyProtection="1"/>
    <xf numFmtId="0" fontId="1" fillId="0" borderId="14" xfId="0" applyFont="1" applyBorder="1" applyProtection="1"/>
    <xf numFmtId="0" fontId="1" fillId="0" borderId="0" xfId="0" applyFont="1" applyBorder="1" applyProtection="1"/>
    <xf numFmtId="43" fontId="1" fillId="0" borderId="0" xfId="0" applyNumberFormat="1" applyFont="1" applyProtection="1"/>
    <xf numFmtId="0" fontId="68" fillId="0" borderId="14" xfId="0" applyFont="1" applyBorder="1" applyProtection="1"/>
    <xf numFmtId="0" fontId="68" fillId="0" borderId="4" xfId="0" applyFont="1" applyBorder="1" applyAlignment="1" applyProtection="1"/>
    <xf numFmtId="43" fontId="68" fillId="18" borderId="4" xfId="1" applyFont="1" applyFill="1" applyBorder="1" applyAlignment="1" applyProtection="1">
      <protection locked="0"/>
    </xf>
    <xf numFmtId="9" fontId="68" fillId="0" borderId="4" xfId="4" applyFont="1" applyBorder="1" applyAlignment="1" applyProtection="1"/>
    <xf numFmtId="43" fontId="68" fillId="0" borderId="4" xfId="1" applyFont="1" applyBorder="1" applyAlignment="1" applyProtection="1"/>
    <xf numFmtId="43" fontId="69" fillId="0" borderId="4" xfId="1" applyFont="1" applyFill="1" applyBorder="1" applyProtection="1"/>
    <xf numFmtId="43" fontId="68" fillId="0" borderId="4" xfId="1" applyFont="1" applyFill="1" applyBorder="1" applyProtection="1"/>
    <xf numFmtId="0" fontId="68" fillId="0" borderId="0" xfId="0" applyFont="1" applyBorder="1" applyProtection="1"/>
    <xf numFmtId="43" fontId="68" fillId="0" borderId="0" xfId="0" applyNumberFormat="1" applyFont="1" applyProtection="1"/>
    <xf numFmtId="43" fontId="68" fillId="0" borderId="0" xfId="1" applyFont="1" applyProtection="1"/>
    <xf numFmtId="0" fontId="68" fillId="19" borderId="0" xfId="0" applyFont="1" applyFill="1" applyProtection="1">
      <protection locked="0"/>
    </xf>
    <xf numFmtId="0" fontId="68" fillId="0" borderId="0" xfId="0" applyFont="1" applyProtection="1"/>
    <xf numFmtId="0" fontId="1" fillId="6" borderId="8" xfId="0" applyFont="1" applyFill="1" applyBorder="1" applyAlignment="1" applyProtection="1"/>
    <xf numFmtId="0" fontId="3" fillId="6" borderId="1" xfId="0" applyFont="1" applyFill="1" applyBorder="1" applyAlignment="1" applyProtection="1"/>
    <xf numFmtId="0" fontId="3" fillId="6" borderId="7" xfId="0" applyFont="1" applyFill="1" applyBorder="1" applyAlignment="1" applyProtection="1"/>
    <xf numFmtId="0" fontId="3" fillId="6" borderId="8" xfId="0" applyFont="1" applyFill="1" applyBorder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51" fillId="0" borderId="0" xfId="0" applyFont="1" applyFill="1" applyBorder="1" applyAlignment="1" applyProtection="1"/>
    <xf numFmtId="2" fontId="51" fillId="0" borderId="0" xfId="0" applyNumberFormat="1" applyFont="1" applyFill="1" applyBorder="1" applyAlignment="1" applyProtection="1"/>
    <xf numFmtId="0" fontId="5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/>
    <xf numFmtId="2" fontId="52" fillId="0" borderId="0" xfId="0" applyNumberFormat="1" applyFont="1" applyFill="1" applyBorder="1" applyAlignment="1" applyProtection="1"/>
    <xf numFmtId="0" fontId="70" fillId="0" borderId="0" xfId="0" applyFont="1" applyBorder="1" applyAlignment="1" applyProtection="1"/>
    <xf numFmtId="0" fontId="52" fillId="0" borderId="0" xfId="0" applyFont="1" applyBorder="1" applyAlignment="1" applyProtection="1"/>
    <xf numFmtId="2" fontId="52" fillId="0" borderId="0" xfId="0" applyNumberFormat="1" applyFont="1" applyBorder="1" applyAlignment="1" applyProtection="1"/>
    <xf numFmtId="0" fontId="70" fillId="0" borderId="0" xfId="0" applyFont="1" applyAlignment="1" applyProtection="1"/>
    <xf numFmtId="2" fontId="52" fillId="0" borderId="0" xfId="0" applyNumberFormat="1" applyFont="1" applyAlignment="1" applyProtection="1"/>
    <xf numFmtId="2" fontId="51" fillId="0" borderId="0" xfId="0" applyNumberFormat="1" applyFont="1" applyAlignment="1" applyProtection="1"/>
    <xf numFmtId="0" fontId="3" fillId="4" borderId="7" xfId="0" applyFont="1" applyFill="1" applyBorder="1" applyAlignment="1" applyProtection="1">
      <alignment horizontal="center"/>
    </xf>
    <xf numFmtId="2" fontId="20" fillId="0" borderId="15" xfId="0" applyNumberFormat="1" applyFont="1" applyBorder="1" applyAlignment="1" applyProtection="1"/>
    <xf numFmtId="0" fontId="51" fillId="0" borderId="0" xfId="0" quotePrefix="1" applyFont="1" applyAlignment="1" applyProtection="1"/>
    <xf numFmtId="44" fontId="72" fillId="0" borderId="0" xfId="0" applyNumberFormat="1" applyFont="1" applyFill="1" applyBorder="1" applyAlignment="1" applyProtection="1"/>
    <xf numFmtId="0" fontId="46" fillId="8" borderId="0" xfId="0" applyFont="1" applyFill="1" applyAlignment="1" applyProtection="1"/>
    <xf numFmtId="165" fontId="2" fillId="2" borderId="4" xfId="0" applyNumberFormat="1" applyFont="1" applyFill="1" applyBorder="1" applyAlignment="1" applyProtection="1">
      <alignment horizontal="left"/>
    </xf>
    <xf numFmtId="9" fontId="2" fillId="2" borderId="4" xfId="0" applyNumberFormat="1" applyFont="1" applyFill="1" applyBorder="1" applyAlignment="1" applyProtection="1">
      <alignment horizontal="left"/>
    </xf>
    <xf numFmtId="0" fontId="15" fillId="6" borderId="7" xfId="0" applyFont="1" applyFill="1" applyBorder="1" applyAlignment="1" applyProtection="1"/>
    <xf numFmtId="0" fontId="28" fillId="0" borderId="0" xfId="0" applyFont="1" applyAlignment="1" applyProtection="1"/>
    <xf numFmtId="0" fontId="37" fillId="0" borderId="1" xfId="0" applyFont="1" applyBorder="1" applyAlignment="1" applyProtection="1">
      <alignment horizontal="center"/>
    </xf>
    <xf numFmtId="0" fontId="35" fillId="0" borderId="0" xfId="0" applyFont="1" applyAlignment="1" applyProtection="1"/>
    <xf numFmtId="0" fontId="27" fillId="0" borderId="0" xfId="0" applyFont="1" applyAlignment="1" applyProtection="1"/>
    <xf numFmtId="170" fontId="53" fillId="0" borderId="0" xfId="0" applyNumberFormat="1" applyFont="1" applyAlignment="1" applyProtection="1"/>
    <xf numFmtId="0" fontId="31" fillId="0" borderId="0" xfId="0" applyFont="1" applyAlignment="1" applyProtection="1"/>
    <xf numFmtId="0" fontId="16" fillId="0" borderId="0" xfId="0" applyFont="1" applyAlignment="1" applyProtection="1">
      <alignment horizontal="center" vertical="top"/>
    </xf>
    <xf numFmtId="0" fontId="16" fillId="0" borderId="10" xfId="0" applyFont="1" applyBorder="1" applyAlignment="1" applyProtection="1">
      <alignment horizontal="center" vertical="top"/>
    </xf>
    <xf numFmtId="0" fontId="0" fillId="0" borderId="0" xfId="0" quotePrefix="1" applyBorder="1" applyAlignment="1" applyProtection="1">
      <alignment horizontal="center" vertical="center"/>
    </xf>
    <xf numFmtId="0" fontId="33" fillId="4" borderId="4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vertical="center"/>
    </xf>
    <xf numFmtId="8" fontId="0" fillId="0" borderId="14" xfId="0" applyNumberFormat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left"/>
    </xf>
    <xf numFmtId="0" fontId="4" fillId="9" borderId="6" xfId="0" applyFont="1" applyFill="1" applyBorder="1" applyAlignment="1" applyProtection="1">
      <alignment horizontal="center" wrapText="1"/>
      <protection locked="0"/>
    </xf>
    <xf numFmtId="8" fontId="3" fillId="2" borderId="8" xfId="0" applyNumberFormat="1" applyFont="1" applyFill="1" applyBorder="1" applyAlignment="1" applyProtection="1">
      <protection locked="0"/>
    </xf>
    <xf numFmtId="44" fontId="54" fillId="12" borderId="4" xfId="0" applyNumberFormat="1" applyFont="1" applyFill="1" applyBorder="1" applyAlignment="1" applyProtection="1">
      <protection locked="0"/>
    </xf>
    <xf numFmtId="0" fontId="3" fillId="8" borderId="8" xfId="0" applyFont="1" applyFill="1" applyBorder="1" applyAlignment="1" applyProtection="1">
      <alignment horizontal="left"/>
    </xf>
    <xf numFmtId="0" fontId="3" fillId="8" borderId="1" xfId="0" applyFont="1" applyFill="1" applyBorder="1" applyAlignment="1" applyProtection="1">
      <alignment horizontal="left"/>
    </xf>
    <xf numFmtId="0" fontId="3" fillId="8" borderId="7" xfId="0" applyFont="1" applyFill="1" applyBorder="1" applyAlignment="1" applyProtection="1"/>
    <xf numFmtId="0" fontId="2" fillId="6" borderId="11" xfId="0" applyFont="1" applyFill="1" applyBorder="1" applyAlignment="1" applyProtection="1"/>
    <xf numFmtId="169" fontId="2" fillId="6" borderId="11" xfId="0" applyNumberFormat="1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/>
    <xf numFmtId="8" fontId="51" fillId="0" borderId="0" xfId="0" applyNumberFormat="1" applyFont="1" applyBorder="1" applyAlignment="1" applyProtection="1"/>
    <xf numFmtId="8" fontId="51" fillId="0" borderId="0" xfId="0" applyNumberFormat="1" applyFont="1" applyProtection="1"/>
    <xf numFmtId="0" fontId="51" fillId="0" borderId="0" xfId="0" applyFont="1" applyProtection="1"/>
    <xf numFmtId="9" fontId="49" fillId="4" borderId="6" xfId="4" applyFont="1" applyFill="1" applyBorder="1" applyAlignment="1" applyProtection="1">
      <alignment horizontal="center"/>
    </xf>
    <xf numFmtId="0" fontId="33" fillId="4" borderId="4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/>
    <xf numFmtId="0" fontId="38" fillId="2" borderId="7" xfId="0" applyFont="1" applyFill="1" applyBorder="1" applyAlignment="1" applyProtection="1">
      <protection locked="0"/>
    </xf>
    <xf numFmtId="0" fontId="71" fillId="7" borderId="4" xfId="0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/>
    <xf numFmtId="44" fontId="50" fillId="0" borderId="0" xfId="0" applyNumberFormat="1" applyFont="1" applyFill="1" applyBorder="1" applyAlignment="1" applyProtection="1"/>
    <xf numFmtId="43" fontId="50" fillId="0" borderId="0" xfId="1" applyFont="1" applyFill="1" applyBorder="1" applyAlignment="1" applyProtection="1"/>
    <xf numFmtId="0" fontId="1" fillId="5" borderId="8" xfId="0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right"/>
    </xf>
    <xf numFmtId="0" fontId="1" fillId="4" borderId="7" xfId="0" applyFont="1" applyFill="1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9" fontId="1" fillId="4" borderId="6" xfId="4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left"/>
    </xf>
    <xf numFmtId="0" fontId="51" fillId="7" borderId="4" xfId="0" applyFont="1" applyFill="1" applyBorder="1" applyAlignment="1" applyProtection="1">
      <alignment horizontal="center"/>
      <protection locked="0"/>
    </xf>
    <xf numFmtId="0" fontId="51" fillId="4" borderId="4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  <protection locked="0"/>
    </xf>
    <xf numFmtId="0" fontId="3" fillId="20" borderId="4" xfId="0" applyFont="1" applyFill="1" applyBorder="1" applyAlignment="1" applyProtection="1"/>
    <xf numFmtId="0" fontId="1" fillId="20" borderId="8" xfId="0" applyFont="1" applyFill="1" applyBorder="1" applyAlignment="1" applyProtection="1">
      <alignment horizontal="left"/>
    </xf>
    <xf numFmtId="0" fontId="3" fillId="20" borderId="1" xfId="0" applyFont="1" applyFill="1" applyBorder="1" applyAlignment="1" applyProtection="1">
      <alignment horizontal="left"/>
    </xf>
    <xf numFmtId="0" fontId="2" fillId="20" borderId="1" xfId="0" applyFont="1" applyFill="1" applyBorder="1" applyAlignment="1" applyProtection="1"/>
    <xf numFmtId="8" fontId="3" fillId="20" borderId="4" xfId="0" applyNumberFormat="1" applyFont="1" applyFill="1" applyBorder="1" applyAlignment="1" applyProtection="1"/>
    <xf numFmtId="0" fontId="3" fillId="20" borderId="7" xfId="0" applyFont="1" applyFill="1" applyBorder="1" applyAlignment="1" applyProtection="1">
      <protection locked="0"/>
    </xf>
    <xf numFmtId="8" fontId="3" fillId="20" borderId="8" xfId="0" applyNumberFormat="1" applyFont="1" applyFill="1" applyBorder="1" applyAlignment="1" applyProtection="1">
      <protection locked="0"/>
    </xf>
    <xf numFmtId="44" fontId="1" fillId="20" borderId="4" xfId="2" applyFont="1" applyFill="1" applyBorder="1" applyAlignment="1" applyProtection="1"/>
    <xf numFmtId="0" fontId="29" fillId="20" borderId="0" xfId="0" applyFont="1" applyFill="1" applyAlignment="1" applyProtection="1"/>
    <xf numFmtId="0" fontId="22" fillId="20" borderId="0" xfId="0" applyFont="1" applyFill="1" applyAlignment="1" applyProtection="1"/>
    <xf numFmtId="0" fontId="20" fillId="20" borderId="0" xfId="0" applyFont="1" applyFill="1" applyAlignment="1" applyProtection="1"/>
    <xf numFmtId="2" fontId="20" fillId="20" borderId="0" xfId="0" applyNumberFormat="1" applyFont="1" applyFill="1" applyAlignment="1" applyProtection="1"/>
    <xf numFmtId="0" fontId="3" fillId="20" borderId="0" xfId="0" applyFont="1" applyFill="1" applyAlignment="1" applyProtection="1"/>
    <xf numFmtId="0" fontId="3" fillId="20" borderId="1" xfId="0" applyFont="1" applyFill="1" applyBorder="1" applyAlignment="1" applyProtection="1"/>
    <xf numFmtId="0" fontId="3" fillId="20" borderId="4" xfId="0" applyFont="1" applyFill="1" applyBorder="1" applyAlignment="1" applyProtection="1">
      <alignment horizontal="left"/>
    </xf>
    <xf numFmtId="0" fontId="3" fillId="20" borderId="8" xfId="0" applyFont="1" applyFill="1" applyBorder="1" applyAlignment="1" applyProtection="1">
      <alignment horizontal="left"/>
    </xf>
    <xf numFmtId="0" fontId="2" fillId="20" borderId="7" xfId="0" applyFont="1" applyFill="1" applyBorder="1" applyAlignment="1" applyProtection="1"/>
    <xf numFmtId="0" fontId="3" fillId="20" borderId="8" xfId="0" applyFont="1" applyFill="1" applyBorder="1" applyAlignment="1" applyProtection="1"/>
    <xf numFmtId="0" fontId="3" fillId="20" borderId="7" xfId="0" applyFont="1" applyFill="1" applyBorder="1" applyAlignment="1" applyProtection="1"/>
    <xf numFmtId="0" fontId="1" fillId="20" borderId="4" xfId="0" applyFont="1" applyFill="1" applyBorder="1" applyAlignment="1" applyProtection="1"/>
    <xf numFmtId="0" fontId="1" fillId="20" borderId="1" xfId="0" applyFont="1" applyFill="1" applyBorder="1" applyAlignment="1" applyProtection="1">
      <alignment horizontal="left"/>
    </xf>
    <xf numFmtId="0" fontId="1" fillId="20" borderId="8" xfId="0" applyFont="1" applyFill="1" applyBorder="1" applyAlignment="1" applyProtection="1"/>
    <xf numFmtId="0" fontId="1" fillId="0" borderId="8" xfId="0" applyFont="1" applyFill="1" applyBorder="1" applyAlignment="1" applyProtection="1"/>
    <xf numFmtId="0" fontId="10" fillId="0" borderId="8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right"/>
    </xf>
    <xf numFmtId="0" fontId="10" fillId="0" borderId="7" xfId="0" applyFont="1" applyFill="1" applyBorder="1" applyAlignment="1" applyProtection="1">
      <alignment horizontal="right"/>
    </xf>
    <xf numFmtId="1" fontId="2" fillId="2" borderId="8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5" fillId="13" borderId="8" xfId="0" applyFont="1" applyFill="1" applyBorder="1" applyAlignment="1" applyProtection="1">
      <alignment horizontal="center"/>
    </xf>
    <xf numFmtId="0" fontId="25" fillId="13" borderId="1" xfId="0" applyFont="1" applyFill="1" applyBorder="1" applyAlignment="1" applyProtection="1">
      <alignment horizontal="center"/>
    </xf>
    <xf numFmtId="0" fontId="25" fillId="13" borderId="7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25" fillId="11" borderId="1" xfId="0" applyFont="1" applyFill="1" applyBorder="1" applyAlignment="1" applyProtection="1">
      <alignment horizontal="center"/>
    </xf>
    <xf numFmtId="0" fontId="25" fillId="11" borderId="7" xfId="0" applyFont="1" applyFill="1" applyBorder="1" applyAlignment="1" applyProtection="1">
      <alignment horizontal="center"/>
    </xf>
    <xf numFmtId="0" fontId="0" fillId="0" borderId="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4" fillId="0" borderId="11" xfId="0" applyFont="1" applyBorder="1" applyAlignment="1" applyProtection="1">
      <alignment horizontal="center"/>
    </xf>
    <xf numFmtId="0" fontId="13" fillId="2" borderId="8" xfId="3" applyFill="1" applyBorder="1" applyAlignment="1" applyProtection="1">
      <alignment horizontal="left"/>
      <protection locked="0"/>
    </xf>
    <xf numFmtId="0" fontId="52" fillId="0" borderId="8" xfId="0" applyFont="1" applyBorder="1" applyAlignment="1" applyProtection="1"/>
    <xf numFmtId="0" fontId="52" fillId="0" borderId="7" xfId="0" applyFont="1" applyBorder="1" applyAlignment="1" applyProtection="1"/>
    <xf numFmtId="166" fontId="2" fillId="2" borderId="8" xfId="0" applyNumberFormat="1" applyFont="1" applyFill="1" applyBorder="1" applyAlignment="1" applyProtection="1">
      <alignment horizontal="left"/>
      <protection locked="0"/>
    </xf>
    <xf numFmtId="166" fontId="2" fillId="2" borderId="1" xfId="0" applyNumberFormat="1" applyFont="1" applyFill="1" applyBorder="1" applyAlignment="1" applyProtection="1">
      <alignment horizontal="left"/>
      <protection locked="0"/>
    </xf>
    <xf numFmtId="166" fontId="2" fillId="2" borderId="7" xfId="0" applyNumberFormat="1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5" fillId="9" borderId="8" xfId="0" applyFont="1" applyFill="1" applyBorder="1" applyAlignment="1" applyProtection="1">
      <alignment horizontal="center" wrapText="1"/>
    </xf>
    <xf numFmtId="0" fontId="25" fillId="9" borderId="1" xfId="0" applyFont="1" applyFill="1" applyBorder="1" applyAlignment="1" applyProtection="1">
      <alignment horizontal="center" wrapText="1"/>
    </xf>
    <xf numFmtId="0" fontId="25" fillId="9" borderId="7" xfId="0" applyFont="1" applyFill="1" applyBorder="1" applyAlignment="1" applyProtection="1">
      <alignment horizontal="center" wrapText="1"/>
    </xf>
    <xf numFmtId="0" fontId="25" fillId="12" borderId="8" xfId="0" applyFont="1" applyFill="1" applyBorder="1" applyAlignment="1" applyProtection="1">
      <alignment horizontal="center"/>
    </xf>
    <xf numFmtId="0" fontId="0" fillId="12" borderId="1" xfId="0" applyFill="1" applyBorder="1" applyAlignment="1" applyProtection="1">
      <alignment horizontal="center"/>
    </xf>
    <xf numFmtId="0" fontId="0" fillId="12" borderId="7" xfId="0" applyFill="1" applyBorder="1" applyAlignment="1" applyProtection="1">
      <alignment horizontal="center"/>
    </xf>
    <xf numFmtId="0" fontId="25" fillId="8" borderId="8" xfId="0" applyFont="1" applyFill="1" applyBorder="1" applyAlignment="1" applyProtection="1">
      <alignment horizontal="center" wrapText="1"/>
    </xf>
    <xf numFmtId="0" fontId="25" fillId="8" borderId="1" xfId="0" applyFont="1" applyFill="1" applyBorder="1" applyAlignment="1" applyProtection="1">
      <alignment horizontal="center" wrapText="1"/>
    </xf>
    <xf numFmtId="0" fontId="25" fillId="8" borderId="7" xfId="0" applyFont="1" applyFill="1" applyBorder="1" applyAlignment="1" applyProtection="1">
      <alignment horizontal="center" wrapText="1"/>
    </xf>
    <xf numFmtId="0" fontId="25" fillId="10" borderId="8" xfId="0" applyFont="1" applyFill="1" applyBorder="1" applyAlignment="1" applyProtection="1">
      <alignment horizontal="center"/>
    </xf>
    <xf numFmtId="0" fontId="25" fillId="10" borderId="1" xfId="0" applyFont="1" applyFill="1" applyBorder="1" applyAlignment="1" applyProtection="1">
      <alignment horizontal="center"/>
    </xf>
    <xf numFmtId="0" fontId="25" fillId="10" borderId="7" xfId="0" applyFont="1" applyFill="1" applyBorder="1" applyAlignment="1" applyProtection="1">
      <alignment horizontal="center"/>
    </xf>
    <xf numFmtId="0" fontId="25" fillId="14" borderId="8" xfId="0" applyFont="1" applyFill="1" applyBorder="1" applyAlignment="1" applyProtection="1">
      <alignment horizontal="center"/>
    </xf>
    <xf numFmtId="0" fontId="25" fillId="14" borderId="1" xfId="0" applyFont="1" applyFill="1" applyBorder="1" applyAlignment="1" applyProtection="1">
      <alignment horizontal="center"/>
    </xf>
    <xf numFmtId="0" fontId="25" fillId="14" borderId="7" xfId="0" applyFont="1" applyFill="1" applyBorder="1" applyAlignment="1" applyProtection="1">
      <alignment horizontal="center"/>
    </xf>
    <xf numFmtId="0" fontId="25" fillId="17" borderId="8" xfId="0" applyFont="1" applyFill="1" applyBorder="1" applyAlignment="1" applyProtection="1">
      <alignment horizontal="center"/>
    </xf>
    <xf numFmtId="0" fontId="25" fillId="17" borderId="1" xfId="0" applyFont="1" applyFill="1" applyBorder="1" applyAlignment="1" applyProtection="1">
      <alignment horizontal="center"/>
    </xf>
    <xf numFmtId="0" fontId="25" fillId="17" borderId="7" xfId="0" applyFont="1" applyFill="1" applyBorder="1" applyAlignment="1" applyProtection="1">
      <alignment horizontal="center"/>
    </xf>
    <xf numFmtId="0" fontId="25" fillId="15" borderId="8" xfId="0" applyFont="1" applyFill="1" applyBorder="1" applyAlignment="1" applyProtection="1">
      <alignment horizontal="center"/>
    </xf>
    <xf numFmtId="0" fontId="25" fillId="15" borderId="1" xfId="0" applyFont="1" applyFill="1" applyBorder="1" applyAlignment="1" applyProtection="1">
      <alignment horizontal="center"/>
    </xf>
    <xf numFmtId="0" fontId="25" fillId="15" borderId="7" xfId="0" applyFont="1" applyFill="1" applyBorder="1" applyAlignment="1" applyProtection="1">
      <alignment horizontal="center"/>
    </xf>
    <xf numFmtId="0" fontId="25" fillId="16" borderId="8" xfId="0" applyFont="1" applyFill="1" applyBorder="1" applyAlignment="1" applyProtection="1">
      <alignment horizontal="center"/>
    </xf>
    <xf numFmtId="0" fontId="25" fillId="16" borderId="1" xfId="0" applyFont="1" applyFill="1" applyBorder="1" applyAlignment="1" applyProtection="1">
      <alignment horizontal="center"/>
    </xf>
    <xf numFmtId="0" fontId="25" fillId="16" borderId="7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1" fillId="0" borderId="14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10" xfId="0" applyFont="1" applyBorder="1" applyAlignment="1" applyProtection="1">
      <alignment horizontal="center" vertical="top" wrapText="1"/>
    </xf>
    <xf numFmtId="0" fontId="11" fillId="0" borderId="13" xfId="0" applyFont="1" applyBorder="1" applyAlignment="1" applyProtection="1">
      <alignment horizontal="center" vertical="top" wrapText="1"/>
    </xf>
    <xf numFmtId="0" fontId="11" fillId="0" borderId="11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center" vertical="top" wrapText="1"/>
    </xf>
    <xf numFmtId="0" fontId="2" fillId="4" borderId="8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right"/>
    </xf>
    <xf numFmtId="0" fontId="2" fillId="4" borderId="7" xfId="0" applyFont="1" applyFill="1" applyBorder="1" applyAlignment="1" applyProtection="1">
      <alignment horizontal="right"/>
    </xf>
    <xf numFmtId="0" fontId="11" fillId="0" borderId="14" xfId="0" applyFont="1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25" fillId="0" borderId="8" xfId="0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7" xfId="0" applyFont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25" fillId="0" borderId="7" xfId="0" applyFont="1" applyFill="1" applyBorder="1" applyAlignment="1" applyProtection="1">
      <alignment horizontal="center"/>
    </xf>
    <xf numFmtId="1" fontId="7" fillId="2" borderId="8" xfId="0" applyNumberFormat="1" applyFont="1" applyFill="1" applyBorder="1" applyAlignment="1" applyProtection="1">
      <alignment horizontal="left"/>
      <protection locked="0"/>
    </xf>
    <xf numFmtId="1" fontId="7" fillId="2" borderId="7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3" fillId="4" borderId="8" xfId="0" applyFont="1" applyFill="1" applyBorder="1" applyAlignment="1" applyProtection="1">
      <protection locked="0"/>
    </xf>
    <xf numFmtId="0" fontId="6" fillId="0" borderId="13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left"/>
      <protection locked="0"/>
    </xf>
    <xf numFmtId="166" fontId="0" fillId="2" borderId="7" xfId="0" applyNumberFormat="1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/>
    <xf numFmtId="0" fontId="0" fillId="0" borderId="0" xfId="0" applyAlignment="1" applyProtection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7"/>
  <sheetViews>
    <sheetView tabSelected="1" view="pageBreakPreview" zoomScale="150" zoomScaleNormal="100" zoomScaleSheetLayoutView="150" workbookViewId="0">
      <pane ySplit="13" topLeftCell="A14" activePane="bottomLeft" state="frozen"/>
      <selection pane="bottomLeft" activeCell="A18" sqref="A18:XFD18"/>
    </sheetView>
  </sheetViews>
  <sheetFormatPr defaultColWidth="9.140625" defaultRowHeight="12.75"/>
  <cols>
    <col min="1" max="1" width="9" style="9" customWidth="1"/>
    <col min="2" max="2" width="10.42578125" style="9" customWidth="1"/>
    <col min="3" max="3" width="9.85546875" style="9" customWidth="1"/>
    <col min="4" max="4" width="16.42578125" style="9" customWidth="1"/>
    <col min="5" max="5" width="27.140625" style="9" customWidth="1"/>
    <col min="6" max="6" width="11.7109375" style="9" customWidth="1"/>
    <col min="7" max="7" width="10.5703125" style="9" customWidth="1"/>
    <col min="8" max="8" width="0.5703125" style="9" customWidth="1"/>
    <col min="9" max="9" width="12.85546875" style="9" customWidth="1"/>
    <col min="10" max="10" width="16" style="276" customWidth="1"/>
    <col min="11" max="11" width="6.140625" style="199" customWidth="1"/>
    <col min="12" max="13" width="9.140625" style="189"/>
    <col min="14" max="14" width="10.5703125" style="189" customWidth="1"/>
    <col min="15" max="16" width="9.140625" style="189"/>
    <col min="17" max="17" width="9.140625" style="190"/>
    <col min="18" max="16384" width="9.140625" style="9"/>
  </cols>
  <sheetData>
    <row r="1" spans="1:18" s="16" customFormat="1" ht="12" customHeight="1">
      <c r="A1" s="537" t="s">
        <v>516</v>
      </c>
      <c r="B1" s="537"/>
      <c r="C1" s="537"/>
      <c r="D1" s="537"/>
      <c r="E1" s="537"/>
      <c r="F1" s="537"/>
      <c r="G1" s="537"/>
      <c r="H1" s="537"/>
      <c r="I1" s="537"/>
      <c r="J1" s="537"/>
      <c r="K1" s="204"/>
      <c r="L1" s="186"/>
      <c r="M1" s="186"/>
      <c r="N1" s="186"/>
      <c r="O1" s="186"/>
      <c r="P1" s="186"/>
      <c r="Q1" s="187"/>
    </row>
    <row r="2" spans="1:18" s="16" customFormat="1" ht="12" customHeight="1">
      <c r="A2" s="538" t="str">
        <f>IF(J11="fld","Staff Price List/Order Form",IF(J11="par","Ministry Partner Price List/Order Form","Retail Price List/Order Form"))</f>
        <v>Staff Price List/Order Form</v>
      </c>
      <c r="B2" s="539"/>
      <c r="C2" s="539"/>
      <c r="D2" s="539"/>
      <c r="E2" s="539"/>
      <c r="F2" s="539"/>
      <c r="G2" s="539"/>
      <c r="H2" s="539"/>
      <c r="I2" s="539"/>
      <c r="J2" s="539"/>
      <c r="K2" s="205"/>
      <c r="L2" s="188"/>
      <c r="M2" s="188"/>
      <c r="N2" s="186"/>
      <c r="O2" s="186"/>
      <c r="P2" s="186"/>
      <c r="Q2" s="187"/>
    </row>
    <row r="3" spans="1:18" s="16" customFormat="1" ht="12" customHeight="1">
      <c r="A3" s="543" t="s">
        <v>515</v>
      </c>
      <c r="B3" s="543"/>
      <c r="C3" s="543"/>
      <c r="D3" s="543"/>
      <c r="E3" s="543"/>
      <c r="F3" s="543"/>
      <c r="G3" s="543"/>
      <c r="H3" s="543"/>
      <c r="I3" s="543"/>
      <c r="J3" s="543"/>
      <c r="K3" s="205"/>
      <c r="L3" s="188"/>
      <c r="M3" s="188"/>
      <c r="N3" s="186"/>
      <c r="O3" s="186"/>
      <c r="P3" s="186"/>
      <c r="Q3" s="187"/>
    </row>
    <row r="4" spans="1:18" ht="12" customHeight="1">
      <c r="A4" s="157" t="s">
        <v>324</v>
      </c>
      <c r="B4" s="56"/>
      <c r="C4" s="540"/>
      <c r="D4" s="541"/>
      <c r="E4" s="541"/>
      <c r="F4" s="17"/>
      <c r="H4" s="156"/>
      <c r="I4" s="156" t="s">
        <v>417</v>
      </c>
      <c r="J4" s="165"/>
      <c r="K4" s="205"/>
      <c r="L4" s="188"/>
      <c r="M4" s="188"/>
    </row>
    <row r="5" spans="1:18" s="19" customFormat="1" ht="12" customHeight="1">
      <c r="A5" s="158" t="s">
        <v>326</v>
      </c>
      <c r="B5" s="524"/>
      <c r="C5" s="533"/>
      <c r="D5" s="533"/>
      <c r="E5" s="534"/>
      <c r="F5" s="156" t="s">
        <v>421</v>
      </c>
      <c r="G5" s="544"/>
      <c r="H5" s="525"/>
      <c r="I5" s="525"/>
      <c r="J5" s="526"/>
      <c r="K5" s="205"/>
      <c r="L5" s="188"/>
      <c r="M5" s="192"/>
      <c r="N5" s="184"/>
      <c r="O5" s="184"/>
      <c r="P5" s="184"/>
      <c r="Q5" s="185"/>
    </row>
    <row r="6" spans="1:18" s="19" customFormat="1" ht="12" customHeight="1">
      <c r="A6" s="158" t="s">
        <v>422</v>
      </c>
      <c r="B6" s="159"/>
      <c r="C6" s="19" t="s">
        <v>423</v>
      </c>
      <c r="D6" s="159"/>
      <c r="F6" s="156" t="s">
        <v>325</v>
      </c>
      <c r="G6" s="547"/>
      <c r="H6" s="548"/>
      <c r="I6" s="548"/>
      <c r="J6" s="549"/>
      <c r="K6" s="205"/>
      <c r="L6" s="188"/>
      <c r="M6" s="192"/>
      <c r="N6" s="184"/>
      <c r="O6" s="184"/>
      <c r="P6" s="184"/>
      <c r="Q6" s="185"/>
    </row>
    <row r="7" spans="1:18" s="16" customFormat="1" ht="12" customHeight="1">
      <c r="A7" s="14" t="s">
        <v>327</v>
      </c>
      <c r="B7" s="164"/>
      <c r="C7" s="542"/>
      <c r="D7" s="541"/>
      <c r="E7" s="541"/>
      <c r="F7" s="545" t="str">
        <f>IF(G9&lt;5799,"",IF(G9&lt;5905,"CHECK ON BALANCE!",""))</f>
        <v/>
      </c>
      <c r="G7" s="546"/>
      <c r="H7" s="156"/>
      <c r="I7" s="156" t="s">
        <v>418</v>
      </c>
      <c r="J7" s="277"/>
      <c r="K7" s="205"/>
      <c r="L7" s="188"/>
      <c r="M7" s="191"/>
      <c r="N7" s="186"/>
      <c r="O7" s="186"/>
      <c r="P7" s="186"/>
      <c r="Q7" s="187"/>
    </row>
    <row r="8" spans="1:18" s="19" customFormat="1" ht="12" customHeight="1">
      <c r="A8" s="14" t="s">
        <v>23</v>
      </c>
      <c r="B8" s="524"/>
      <c r="C8" s="533"/>
      <c r="D8" s="533"/>
      <c r="E8" s="534"/>
      <c r="F8" s="156" t="str">
        <f>IF($J$11="fld","Shipped to:","Paid by:")</f>
        <v>Shipped to:</v>
      </c>
      <c r="G8" s="524"/>
      <c r="H8" s="525"/>
      <c r="I8" s="525"/>
      <c r="J8" s="526"/>
      <c r="K8" s="205"/>
      <c r="L8" s="188"/>
      <c r="M8" s="192"/>
      <c r="N8" s="184"/>
      <c r="O8" s="184"/>
      <c r="P8" s="184"/>
      <c r="Q8" s="185"/>
    </row>
    <row r="9" spans="1:18" s="19" customFormat="1" ht="12" customHeight="1">
      <c r="A9" s="14" t="s">
        <v>23</v>
      </c>
      <c r="B9" s="524"/>
      <c r="C9" s="533"/>
      <c r="D9" s="533"/>
      <c r="E9" s="534"/>
      <c r="F9" s="156" t="s">
        <v>420</v>
      </c>
      <c r="G9" s="521"/>
      <c r="H9" s="522"/>
      <c r="I9" s="522"/>
      <c r="J9" s="523"/>
      <c r="K9" s="214"/>
      <c r="L9" s="191"/>
      <c r="M9" s="191"/>
      <c r="N9" s="184"/>
      <c r="O9" s="184"/>
      <c r="P9" s="184"/>
      <c r="Q9" s="185"/>
    </row>
    <row r="10" spans="1:18" s="19" customFormat="1" ht="12" customHeight="1">
      <c r="A10" s="14" t="s">
        <v>25</v>
      </c>
      <c r="B10" s="524"/>
      <c r="C10" s="535"/>
      <c r="D10" s="535"/>
      <c r="E10" s="536"/>
      <c r="F10" s="259" t="str">
        <f>IF(G9&gt;0,"Approved","")</f>
        <v/>
      </c>
      <c r="G10" s="167"/>
      <c r="H10" s="425"/>
      <c r="I10" s="424" t="s">
        <v>419</v>
      </c>
      <c r="J10" s="278"/>
      <c r="K10" s="214"/>
      <c r="L10" s="188"/>
      <c r="M10" s="191"/>
      <c r="N10" s="184"/>
      <c r="O10" s="184"/>
      <c r="P10" s="184"/>
      <c r="Q10" s="185"/>
    </row>
    <row r="11" spans="1:18" s="19" customFormat="1" ht="12" customHeight="1">
      <c r="A11" s="14" t="s">
        <v>24</v>
      </c>
      <c r="B11" s="159"/>
      <c r="C11" s="14" t="s">
        <v>26</v>
      </c>
      <c r="D11" s="210"/>
      <c r="E11" s="156" t="s">
        <v>416</v>
      </c>
      <c r="F11" s="167" t="s">
        <v>660</v>
      </c>
      <c r="G11" s="518" t="s">
        <v>282</v>
      </c>
      <c r="H11" s="519"/>
      <c r="I11" s="520"/>
      <c r="J11" s="459" t="s">
        <v>618</v>
      </c>
      <c r="K11" s="214"/>
      <c r="L11" s="188"/>
      <c r="M11" s="191"/>
      <c r="N11" s="184"/>
      <c r="O11" s="184"/>
      <c r="P11" s="184"/>
      <c r="Q11" s="185"/>
    </row>
    <row r="12" spans="1:18" s="237" customFormat="1" ht="12" customHeight="1">
      <c r="A12" s="257" t="s">
        <v>529</v>
      </c>
      <c r="B12" s="258"/>
      <c r="C12" s="256"/>
      <c r="D12" s="159"/>
      <c r="E12" s="228"/>
      <c r="F12" s="446"/>
      <c r="G12" s="229"/>
      <c r="H12" s="230"/>
      <c r="I12" s="231"/>
      <c r="J12" s="206" t="s">
        <v>574</v>
      </c>
      <c r="K12" s="232"/>
      <c r="L12" s="233"/>
      <c r="M12" s="234"/>
      <c r="N12" s="235"/>
      <c r="O12" s="235"/>
      <c r="P12" s="235"/>
      <c r="Q12" s="236"/>
    </row>
    <row r="13" spans="1:18" s="19" customFormat="1" ht="12" customHeight="1">
      <c r="A13" s="161" t="s">
        <v>65</v>
      </c>
      <c r="B13" s="162"/>
      <c r="C13" s="162"/>
      <c r="D13" s="162"/>
      <c r="E13" s="162"/>
      <c r="F13" s="158" t="s">
        <v>507</v>
      </c>
      <c r="G13" s="225" t="s">
        <v>225</v>
      </c>
      <c r="H13" s="163"/>
      <c r="I13" s="225" t="s">
        <v>484</v>
      </c>
      <c r="J13" s="206" t="s">
        <v>22</v>
      </c>
      <c r="K13" s="214"/>
      <c r="L13" s="188"/>
      <c r="M13" s="191"/>
      <c r="N13" s="184"/>
      <c r="O13" s="184"/>
      <c r="P13" s="184"/>
      <c r="Q13" s="185"/>
    </row>
    <row r="14" spans="1:18" s="33" customFormat="1" ht="30" customHeight="1">
      <c r="A14" s="334"/>
      <c r="B14" s="553" t="s">
        <v>640</v>
      </c>
      <c r="C14" s="554"/>
      <c r="D14" s="554"/>
      <c r="E14" s="555"/>
      <c r="F14" s="335"/>
      <c r="G14" s="460"/>
      <c r="H14" s="460"/>
      <c r="I14" s="460"/>
      <c r="J14" s="366">
        <f>SUM(J15:J24)</f>
        <v>0</v>
      </c>
      <c r="K14" s="207"/>
      <c r="L14" s="193"/>
      <c r="M14" s="193"/>
      <c r="N14" s="182">
        <v>0.15</v>
      </c>
      <c r="O14" s="182">
        <v>0.25</v>
      </c>
      <c r="P14" s="182">
        <v>0.3</v>
      </c>
      <c r="Q14" s="183" t="s">
        <v>22</v>
      </c>
      <c r="R14" s="180"/>
    </row>
    <row r="15" spans="1:18" s="19" customFormat="1" ht="12" customHeight="1">
      <c r="A15" s="35" t="s">
        <v>0</v>
      </c>
      <c r="B15" s="36" t="s">
        <v>1</v>
      </c>
      <c r="C15" s="37"/>
      <c r="D15" s="37"/>
      <c r="E15" s="20"/>
      <c r="F15" s="39" t="str">
        <f>IF($J$11="fld",VLOOKUP(A15,'price sheet'!$A$3:$F$162,4,FALSE),IF($J$11="ret",VLOOKUP(A15,'price sheet'!$A$3:$F$162,6,FALSE),IF($J$11="par",VLOOKUP(A15,'price sheet'!$A$3:$F$162,5,FALSE),VLOOKUP(A15,'price sheet'!$A$3:$F$162,6,FALSE))))</f>
        <v>Free</v>
      </c>
      <c r="G15" s="138"/>
      <c r="H15" s="461" t="str">
        <f t="shared" ref="H15:H24" si="0">IF(K15="X","Back Ordered","")</f>
        <v/>
      </c>
      <c r="I15" s="138"/>
      <c r="J15" s="248" t="str">
        <f t="shared" ref="J15:J24" si="1">IF(K15="x",0,IF(F15="n/a","N/A",IF(F15="free","FREE",IF(I15=0,SUM(G15*F15),SUM(I15*F15)))))</f>
        <v>FREE</v>
      </c>
      <c r="K15" s="281"/>
      <c r="L15" s="194"/>
      <c r="M15" s="194"/>
      <c r="N15" s="184">
        <f>IF($J$11="ret",IF(G15&gt;9,J15*15%,0),0)</f>
        <v>0</v>
      </c>
      <c r="O15" s="184">
        <f>IF($J$11="ret",IF(G15&gt;49,J15*10%,0),0)</f>
        <v>0</v>
      </c>
      <c r="P15" s="184">
        <f>IF($J$11="ret",IF(G15&gt;99,J15*5%,0),0)</f>
        <v>0</v>
      </c>
      <c r="Q15" s="185">
        <f>IF($J$11="fld",IF(K15&gt;0,J15*$G$142,0),SUM(N15:P15))</f>
        <v>0</v>
      </c>
      <c r="R15" s="181"/>
    </row>
    <row r="16" spans="1:18" s="19" customFormat="1" ht="12" customHeight="1">
      <c r="A16" s="35" t="s">
        <v>2</v>
      </c>
      <c r="B16" s="36" t="s">
        <v>3</v>
      </c>
      <c r="C16" s="37"/>
      <c r="D16" s="37"/>
      <c r="E16" s="20"/>
      <c r="F16" s="39" t="str">
        <f>IF($J$11="fld",VLOOKUP(A16,'price sheet'!$A$3:$F$162,4,FALSE),IF($J$11="ret",VLOOKUP(A16,'price sheet'!$A$3:$F$162,6,FALSE),IF($J$11="par",VLOOKUP(A16,'price sheet'!$A$3:$F$162,5,FALSE),VLOOKUP(A16,'price sheet'!$A$3:$F$162,6,FALSE))))</f>
        <v>Free</v>
      </c>
      <c r="G16" s="138"/>
      <c r="H16" s="461" t="str">
        <f t="shared" si="0"/>
        <v/>
      </c>
      <c r="I16" s="138"/>
      <c r="J16" s="248" t="str">
        <f t="shared" si="1"/>
        <v>FREE</v>
      </c>
      <c r="K16" s="281"/>
      <c r="L16" s="194"/>
      <c r="M16" s="194"/>
      <c r="N16" s="184">
        <f t="shared" ref="N16:N24" si="2">IF($J$11="ret",IF(G16&gt;9,J16*15%,0),0)</f>
        <v>0</v>
      </c>
      <c r="O16" s="184">
        <f t="shared" ref="O16:O24" si="3">IF($J$11="ret",IF(G16&gt;49,J16*10%,0),0)</f>
        <v>0</v>
      </c>
      <c r="P16" s="184">
        <f t="shared" ref="P16:P24" si="4">IF($J$11="ret",IF(G16&gt;99,J16*5%,0),0)</f>
        <v>0</v>
      </c>
      <c r="Q16" s="185">
        <f>IF($J$11="fld",IF(K16&gt;0,J16*$G$142,0),SUM(N16:P16))</f>
        <v>0</v>
      </c>
    </row>
    <row r="17" spans="1:17" s="41" customFormat="1" ht="12" customHeight="1">
      <c r="A17" s="35" t="s">
        <v>4</v>
      </c>
      <c r="B17" s="36" t="s">
        <v>5</v>
      </c>
      <c r="C17" s="37"/>
      <c r="D17" s="37"/>
      <c r="E17" s="38"/>
      <c r="F17" s="39" t="str">
        <f>IF($J$11="fld",VLOOKUP(A17,'price sheet'!$A$3:$F$162,4,FALSE),IF($J$11="ret",VLOOKUP(A17,'price sheet'!$A$3:$F$162,6,FALSE),IF($J$11="par",VLOOKUP(A17,'price sheet'!$A$3:$F$162,5,FALSE),VLOOKUP(A17,'price sheet'!$A$3:$F$162,6,FALSE))))</f>
        <v>Free</v>
      </c>
      <c r="G17" s="138"/>
      <c r="H17" s="461" t="str">
        <f t="shared" si="0"/>
        <v/>
      </c>
      <c r="I17" s="138"/>
      <c r="J17" s="248" t="str">
        <f t="shared" si="1"/>
        <v>FREE</v>
      </c>
      <c r="K17" s="281"/>
      <c r="L17" s="194"/>
      <c r="M17" s="194"/>
      <c r="N17" s="184">
        <f t="shared" si="2"/>
        <v>0</v>
      </c>
      <c r="O17" s="184">
        <f t="shared" si="3"/>
        <v>0</v>
      </c>
      <c r="P17" s="184">
        <f t="shared" si="4"/>
        <v>0</v>
      </c>
      <c r="Q17" s="185">
        <f>IF($J$11="fld",IF(K17&gt;0,J17*$G$142,0),SUM(N17:P17))</f>
        <v>0</v>
      </c>
    </row>
    <row r="18" spans="1:17" s="41" customFormat="1" ht="12" customHeight="1">
      <c r="A18" s="35" t="s">
        <v>6</v>
      </c>
      <c r="B18" s="36" t="s">
        <v>7</v>
      </c>
      <c r="C18" s="37"/>
      <c r="D18" s="37"/>
      <c r="E18" s="38"/>
      <c r="F18" s="39" t="str">
        <f>IF($J$11="fld",VLOOKUP(A18,'price sheet'!$A$3:$F$162,4,FALSE),IF($J$11="ret",VLOOKUP(A18,'price sheet'!$A$3:$F$162,6,FALSE),IF($J$11="par",VLOOKUP(A18,'price sheet'!$A$3:$F$162,5,FALSE),VLOOKUP(A18,'price sheet'!$A$3:$F$162,6,FALSE))))</f>
        <v>Free</v>
      </c>
      <c r="G18" s="138"/>
      <c r="H18" s="461" t="str">
        <f t="shared" si="0"/>
        <v/>
      </c>
      <c r="I18" s="138"/>
      <c r="J18" s="248" t="str">
        <f t="shared" si="1"/>
        <v>FREE</v>
      </c>
      <c r="K18" s="281"/>
      <c r="L18" s="194"/>
      <c r="M18" s="194"/>
      <c r="N18" s="184">
        <f t="shared" si="2"/>
        <v>0</v>
      </c>
      <c r="O18" s="184">
        <f t="shared" si="3"/>
        <v>0</v>
      </c>
      <c r="P18" s="184">
        <f t="shared" si="4"/>
        <v>0</v>
      </c>
      <c r="Q18" s="185">
        <f>IF($J$11="fld",IF(K18&gt;0,J18*$G$142,0),SUM(N18:P18))</f>
        <v>0</v>
      </c>
    </row>
    <row r="19" spans="1:17" s="41" customFormat="1" ht="12" customHeight="1">
      <c r="A19" s="35" t="s">
        <v>8</v>
      </c>
      <c r="B19" s="36" t="s">
        <v>9</v>
      </c>
      <c r="C19" s="37"/>
      <c r="D19" s="37"/>
      <c r="E19" s="38"/>
      <c r="F19" s="39" t="str">
        <f>IF($J$11="fld",VLOOKUP(A19,'price sheet'!$A$3:$F$162,4,FALSE),IF($J$11="ret",VLOOKUP(A19,'price sheet'!$A$3:$F$162,6,FALSE),IF($J$11="par",VLOOKUP(A19,'price sheet'!$A$3:$F$162,5,FALSE),VLOOKUP(A19,'price sheet'!$A$3:$F$162,6,FALSE))))</f>
        <v>Free</v>
      </c>
      <c r="G19" s="138"/>
      <c r="H19" s="461" t="str">
        <f t="shared" si="0"/>
        <v/>
      </c>
      <c r="I19" s="138"/>
      <c r="J19" s="248" t="str">
        <f t="shared" si="1"/>
        <v>FREE</v>
      </c>
      <c r="K19" s="281"/>
      <c r="L19" s="194"/>
      <c r="M19" s="194"/>
      <c r="N19" s="184">
        <f t="shared" si="2"/>
        <v>0</v>
      </c>
      <c r="O19" s="184">
        <f t="shared" si="3"/>
        <v>0</v>
      </c>
      <c r="P19" s="184">
        <f t="shared" si="4"/>
        <v>0</v>
      </c>
      <c r="Q19" s="185">
        <f>IF($J$11="fld",IF(K19&gt;0,J19*$G$142,0),SUM(N19:P19))</f>
        <v>0</v>
      </c>
    </row>
    <row r="20" spans="1:17" s="41" customFormat="1" ht="12" customHeight="1">
      <c r="A20" s="35" t="s">
        <v>10</v>
      </c>
      <c r="B20" s="36" t="s">
        <v>11</v>
      </c>
      <c r="C20" s="37"/>
      <c r="D20" s="37"/>
      <c r="E20" s="38"/>
      <c r="F20" s="39" t="str">
        <f>IF($J$11="fld",VLOOKUP(A20,'price sheet'!$A$3:$F$162,4,FALSE),IF($J$11="ret",VLOOKUP(A20,'price sheet'!$A$3:$F$162,6,FALSE),IF($J$11="par",VLOOKUP(A20,'price sheet'!$A$3:$F$162,5,FALSE),VLOOKUP(A20,'price sheet'!$A$3:$F$162,6,FALSE))))</f>
        <v>Free</v>
      </c>
      <c r="G20" s="138"/>
      <c r="H20" s="461" t="str">
        <f t="shared" si="0"/>
        <v/>
      </c>
      <c r="I20" s="138"/>
      <c r="J20" s="248" t="str">
        <f t="shared" si="1"/>
        <v>FREE</v>
      </c>
      <c r="K20" s="281"/>
      <c r="L20" s="194"/>
      <c r="M20" s="194"/>
      <c r="N20" s="184">
        <f t="shared" si="2"/>
        <v>0</v>
      </c>
      <c r="O20" s="184">
        <f t="shared" si="3"/>
        <v>0</v>
      </c>
      <c r="P20" s="184">
        <f t="shared" si="4"/>
        <v>0</v>
      </c>
      <c r="Q20" s="185">
        <f>IF($J$11="fld",IF(K20&gt;0,J20*$G$142,0),SUM(N20:P20))</f>
        <v>0</v>
      </c>
    </row>
    <row r="21" spans="1:17" s="41" customFormat="1" ht="12" customHeight="1">
      <c r="A21" s="35" t="s">
        <v>12</v>
      </c>
      <c r="B21" s="36" t="s">
        <v>13</v>
      </c>
      <c r="C21" s="37"/>
      <c r="D21" s="37"/>
      <c r="E21" s="38"/>
      <c r="F21" s="39" t="str">
        <f>IF($J$11="fld",VLOOKUP(A21,'price sheet'!$A$3:$F$162,4,FALSE),IF($J$11="ret",VLOOKUP(A21,'price sheet'!$A$3:$F$162,6,FALSE),IF($J$11="par",VLOOKUP(A21,'price sheet'!$A$3:$F$162,5,FALSE),VLOOKUP(A21,'price sheet'!$A$3:$F$162,6,FALSE))))</f>
        <v>Free</v>
      </c>
      <c r="G21" s="138"/>
      <c r="H21" s="461" t="str">
        <f t="shared" si="0"/>
        <v/>
      </c>
      <c r="I21" s="138"/>
      <c r="J21" s="248" t="str">
        <f t="shared" si="1"/>
        <v>FREE</v>
      </c>
      <c r="K21" s="281"/>
      <c r="L21" s="194"/>
      <c r="M21" s="194"/>
      <c r="N21" s="184">
        <f t="shared" si="2"/>
        <v>0</v>
      </c>
      <c r="O21" s="184">
        <f t="shared" si="3"/>
        <v>0</v>
      </c>
      <c r="P21" s="184">
        <f t="shared" si="4"/>
        <v>0</v>
      </c>
      <c r="Q21" s="185">
        <f>IF($J$11="fld",IF(K21&gt;0,J21*$G$142,0),SUM(N21:P21))</f>
        <v>0</v>
      </c>
    </row>
    <row r="22" spans="1:17" s="41" customFormat="1" ht="12" customHeight="1">
      <c r="A22" s="35" t="s">
        <v>14</v>
      </c>
      <c r="B22" s="36" t="s">
        <v>15</v>
      </c>
      <c r="C22" s="37"/>
      <c r="D22" s="37"/>
      <c r="E22" s="38"/>
      <c r="F22" s="39" t="str">
        <f>IF($J$11="fld",VLOOKUP(A22,'price sheet'!$A$3:$F$162,4,FALSE),IF($J$11="ret",VLOOKUP(A22,'price sheet'!$A$3:$F$162,6,FALSE),IF($J$11="par",VLOOKUP(A22,'price sheet'!$A$3:$F$162,5,FALSE),VLOOKUP(A22,'price sheet'!$A$3:$F$162,6,FALSE))))</f>
        <v>Free</v>
      </c>
      <c r="G22" s="138"/>
      <c r="H22" s="461" t="str">
        <f t="shared" si="0"/>
        <v/>
      </c>
      <c r="I22" s="138"/>
      <c r="J22" s="248" t="str">
        <f t="shared" si="1"/>
        <v>FREE</v>
      </c>
      <c r="K22" s="281"/>
      <c r="L22" s="194"/>
      <c r="M22" s="194"/>
      <c r="N22" s="184">
        <f t="shared" si="2"/>
        <v>0</v>
      </c>
      <c r="O22" s="184">
        <f t="shared" si="3"/>
        <v>0</v>
      </c>
      <c r="P22" s="184">
        <f t="shared" si="4"/>
        <v>0</v>
      </c>
      <c r="Q22" s="185">
        <f>IF($J$11="fld",IF(K22&gt;0,J22*$G$142,0),SUM(N22:P22))</f>
        <v>0</v>
      </c>
    </row>
    <row r="23" spans="1:17" s="41" customFormat="1" ht="12" customHeight="1">
      <c r="A23" s="35" t="s">
        <v>16</v>
      </c>
      <c r="B23" s="36" t="s">
        <v>17</v>
      </c>
      <c r="C23" s="37"/>
      <c r="D23" s="37"/>
      <c r="E23" s="38"/>
      <c r="F23" s="39" t="str">
        <f>IF($J$11="fld",VLOOKUP(A23,'price sheet'!$A$3:$F$162,4,FALSE),IF($J$11="ret",VLOOKUP(A23,'price sheet'!$A$3:$F$162,6,FALSE),IF($J$11="par",VLOOKUP(A23,'price sheet'!$A$3:$F$162,5,FALSE),VLOOKUP(A23,'price sheet'!$A$3:$F$162,6,FALSE))))</f>
        <v>Free</v>
      </c>
      <c r="G23" s="138"/>
      <c r="H23" s="461" t="str">
        <f t="shared" si="0"/>
        <v/>
      </c>
      <c r="I23" s="138"/>
      <c r="J23" s="248" t="str">
        <f t="shared" si="1"/>
        <v>FREE</v>
      </c>
      <c r="K23" s="281"/>
      <c r="L23" s="194"/>
      <c r="M23" s="194"/>
      <c r="N23" s="184">
        <f t="shared" si="2"/>
        <v>0</v>
      </c>
      <c r="O23" s="184">
        <f t="shared" si="3"/>
        <v>0</v>
      </c>
      <c r="P23" s="184">
        <f t="shared" si="4"/>
        <v>0</v>
      </c>
      <c r="Q23" s="185">
        <f>IF($J$11="fld",IF(K23&gt;0,J23*$G$142,0),SUM(N23:P23))</f>
        <v>0</v>
      </c>
    </row>
    <row r="24" spans="1:17" s="41" customFormat="1" ht="12" customHeight="1">
      <c r="A24" s="35" t="s">
        <v>18</v>
      </c>
      <c r="B24" s="36" t="s">
        <v>19</v>
      </c>
      <c r="C24" s="37"/>
      <c r="D24" s="37"/>
      <c r="E24" s="38"/>
      <c r="F24" s="39" t="str">
        <f>IF($J$11="fld",VLOOKUP(A24,'price sheet'!$A$3:$F$162,4,FALSE),IF($J$11="ret",VLOOKUP(A24,'price sheet'!$A$3:$F$162,6,FALSE),IF($J$11="par",VLOOKUP(A24,'price sheet'!$A$3:$F$162,5,FALSE),VLOOKUP(A24,'price sheet'!$A$3:$F$162,6,FALSE))))</f>
        <v>Free</v>
      </c>
      <c r="G24" s="138"/>
      <c r="H24" s="461" t="str">
        <f t="shared" si="0"/>
        <v/>
      </c>
      <c r="I24" s="138"/>
      <c r="J24" s="248" t="str">
        <f t="shared" si="1"/>
        <v>FREE</v>
      </c>
      <c r="K24" s="281"/>
      <c r="L24" s="194"/>
      <c r="M24" s="194"/>
      <c r="N24" s="184">
        <f t="shared" si="2"/>
        <v>0</v>
      </c>
      <c r="O24" s="184">
        <f t="shared" si="3"/>
        <v>0</v>
      </c>
      <c r="P24" s="184">
        <f t="shared" si="4"/>
        <v>0</v>
      </c>
      <c r="Q24" s="185">
        <f>IF($J$11="fld",IF(K24&gt;0,J24*$G$142,0),SUM(N24:P24))</f>
        <v>0</v>
      </c>
    </row>
    <row r="25" spans="1:17" s="33" customFormat="1" ht="29.25" customHeight="1">
      <c r="A25" s="336"/>
      <c r="B25" s="559" t="s">
        <v>641</v>
      </c>
      <c r="C25" s="560"/>
      <c r="D25" s="560"/>
      <c r="E25" s="561"/>
      <c r="F25" s="337"/>
      <c r="G25" s="338"/>
      <c r="H25" s="338"/>
      <c r="I25" s="338"/>
      <c r="J25" s="367">
        <f>SUM(J26:J36)</f>
        <v>0</v>
      </c>
      <c r="K25" s="447"/>
      <c r="L25" s="193"/>
      <c r="M25" s="193"/>
      <c r="N25" s="184"/>
      <c r="O25" s="184"/>
      <c r="P25" s="184"/>
      <c r="Q25" s="185"/>
    </row>
    <row r="26" spans="1:17" s="41" customFormat="1" ht="12" customHeight="1">
      <c r="A26" s="35" t="s">
        <v>28</v>
      </c>
      <c r="B26" s="36" t="s">
        <v>29</v>
      </c>
      <c r="C26" s="37"/>
      <c r="D26" s="37"/>
      <c r="E26" s="38"/>
      <c r="F26" s="39" t="str">
        <f>IF($J$11="fld",VLOOKUP(A26,'price sheet'!$A$3:$F$162,4,FALSE),IF($J$11="ret",VLOOKUP(A26,'price sheet'!$A$3:$F$162,6,FALSE),IF($J$11="par",VLOOKUP(A26,'price sheet'!$A$3:$F$162,5,FALSE),VLOOKUP(A26,'price sheet'!$A$3:$F$162,6,FALSE))))</f>
        <v>Free</v>
      </c>
      <c r="G26" s="138"/>
      <c r="H26" s="461" t="str">
        <f t="shared" ref="H26:H36" si="5">IF(K26="X","Back Ordered","")</f>
        <v/>
      </c>
      <c r="I26" s="138"/>
      <c r="J26" s="248" t="str">
        <f t="shared" ref="J26:J36" si="6">IF(K26="x",0,IF(F26="n/a","N/A",IF(F26="free","FREE",IF(I26=0,SUM(G26*F26),SUM(I26*F26)))))</f>
        <v>FREE</v>
      </c>
      <c r="K26" s="281"/>
      <c r="L26" s="194"/>
      <c r="M26" s="194"/>
      <c r="N26" s="184">
        <f t="shared" ref="N26:N36" si="7">IF($J$11="ret",IF(G26&gt;9,J26*15%,0),0)</f>
        <v>0</v>
      </c>
      <c r="O26" s="184">
        <f t="shared" ref="O26:O36" si="8">IF($J$11="ret",IF(G26&gt;49,J26*10%,0),0)</f>
        <v>0</v>
      </c>
      <c r="P26" s="184">
        <f t="shared" ref="P26:P36" si="9">IF($J$11="ret",IF(G26&gt;99,J26*5%,0),0)</f>
        <v>0</v>
      </c>
      <c r="Q26" s="185">
        <f>IF($J$11="fld",IF(K26&gt;0,J26*$G$142,0),SUM(N26:P26))</f>
        <v>0</v>
      </c>
    </row>
    <row r="27" spans="1:17" s="19" customFormat="1" ht="12" customHeight="1">
      <c r="A27" s="35" t="s">
        <v>30</v>
      </c>
      <c r="B27" s="36" t="s">
        <v>31</v>
      </c>
      <c r="C27" s="37"/>
      <c r="D27" s="37"/>
      <c r="E27" s="20"/>
      <c r="F27" s="39" t="str">
        <f>IF($J$11="fld",VLOOKUP(A27,'price sheet'!$A$3:$F$162,4,FALSE),IF($J$11="ret",VLOOKUP(A27,'price sheet'!$A$3:$F$162,6,FALSE),IF($J$11="par",VLOOKUP(A27,'price sheet'!$A$3:$F$162,5,FALSE),VLOOKUP(A27,'price sheet'!$A$3:$F$162,6,FALSE))))</f>
        <v>Free</v>
      </c>
      <c r="G27" s="138"/>
      <c r="H27" s="461" t="str">
        <f t="shared" si="5"/>
        <v/>
      </c>
      <c r="I27" s="138"/>
      <c r="J27" s="248" t="str">
        <f t="shared" si="6"/>
        <v>FREE</v>
      </c>
      <c r="K27" s="281"/>
      <c r="L27" s="194"/>
      <c r="M27" s="194"/>
      <c r="N27" s="184">
        <f t="shared" si="7"/>
        <v>0</v>
      </c>
      <c r="O27" s="184">
        <f t="shared" si="8"/>
        <v>0</v>
      </c>
      <c r="P27" s="184">
        <f t="shared" si="9"/>
        <v>0</v>
      </c>
      <c r="Q27" s="185">
        <f>IF($J$11="fld",IF(K27&gt;0,J27*$G$142,0),SUM(N27:P27))</f>
        <v>0</v>
      </c>
    </row>
    <row r="28" spans="1:17" s="41" customFormat="1" ht="12" customHeight="1">
      <c r="A28" s="35" t="s">
        <v>32</v>
      </c>
      <c r="B28" s="36" t="s">
        <v>33</v>
      </c>
      <c r="C28" s="37"/>
      <c r="D28" s="37"/>
      <c r="E28" s="38"/>
      <c r="F28" s="39" t="str">
        <f>IF($J$11="fld",VLOOKUP(A28,'price sheet'!$A$3:$F$162,4,FALSE),IF($J$11="ret",VLOOKUP(A28,'price sheet'!$A$3:$F$162,6,FALSE),IF($J$11="par",VLOOKUP(A28,'price sheet'!$A$3:$F$162,5,FALSE),VLOOKUP(A28,'price sheet'!$A$3:$F$162,6,FALSE))))</f>
        <v>Free</v>
      </c>
      <c r="G28" s="138"/>
      <c r="H28" s="461" t="str">
        <f t="shared" si="5"/>
        <v/>
      </c>
      <c r="I28" s="138"/>
      <c r="J28" s="248" t="str">
        <f t="shared" si="6"/>
        <v>FREE</v>
      </c>
      <c r="K28" s="281"/>
      <c r="L28" s="194"/>
      <c r="M28" s="194"/>
      <c r="N28" s="184">
        <f t="shared" si="7"/>
        <v>0</v>
      </c>
      <c r="O28" s="184">
        <f t="shared" si="8"/>
        <v>0</v>
      </c>
      <c r="P28" s="184">
        <f t="shared" si="9"/>
        <v>0</v>
      </c>
      <c r="Q28" s="185">
        <f>IF($J$11="fld",IF(K28&gt;0,J28*$G$142,0),SUM(N28:P28))</f>
        <v>0</v>
      </c>
    </row>
    <row r="29" spans="1:17" s="41" customFormat="1" ht="12" customHeight="1">
      <c r="A29" s="35" t="s">
        <v>34</v>
      </c>
      <c r="B29" s="36" t="s">
        <v>169</v>
      </c>
      <c r="C29" s="37"/>
      <c r="D29" s="37"/>
      <c r="E29" s="38"/>
      <c r="F29" s="39" t="str">
        <f>IF($J$11="fld",VLOOKUP(A29,'price sheet'!$A$3:$F$162,4,FALSE),IF($J$11="ret",VLOOKUP(A29,'price sheet'!$A$3:$F$162,6,FALSE),IF($J$11="par",VLOOKUP(A29,'price sheet'!$A$3:$F$162,5,FALSE),VLOOKUP(A29,'price sheet'!$A$3:$F$162,6,FALSE))))</f>
        <v>Free</v>
      </c>
      <c r="G29" s="138"/>
      <c r="H29" s="461" t="str">
        <f t="shared" si="5"/>
        <v/>
      </c>
      <c r="I29" s="138"/>
      <c r="J29" s="248" t="str">
        <f t="shared" si="6"/>
        <v>FREE</v>
      </c>
      <c r="K29" s="281"/>
      <c r="L29" s="194"/>
      <c r="M29" s="194"/>
      <c r="N29" s="184">
        <f t="shared" si="7"/>
        <v>0</v>
      </c>
      <c r="O29" s="184">
        <f t="shared" si="8"/>
        <v>0</v>
      </c>
      <c r="P29" s="184">
        <f t="shared" si="9"/>
        <v>0</v>
      </c>
      <c r="Q29" s="185">
        <f>IF($J$11="fld",IF(K29&gt;0,J29*$G$142,0),SUM(N29:P29))</f>
        <v>0</v>
      </c>
    </row>
    <row r="30" spans="1:17" s="41" customFormat="1" ht="12" customHeight="1">
      <c r="A30" s="35" t="s">
        <v>35</v>
      </c>
      <c r="B30" s="36" t="s">
        <v>96</v>
      </c>
      <c r="C30" s="37"/>
      <c r="D30" s="37"/>
      <c r="E30" s="38"/>
      <c r="F30" s="39" t="str">
        <f>IF($J$11="fld",VLOOKUP(A30,'price sheet'!$A$3:$F$162,4,FALSE),IF($J$11="ret",VLOOKUP(A30,'price sheet'!$A$3:$F$162,6,FALSE),IF($J$11="par",VLOOKUP(A30,'price sheet'!$A$3:$F$162,5,FALSE),VLOOKUP(A30,'price sheet'!$A$3:$F$162,6,FALSE))))</f>
        <v>Free</v>
      </c>
      <c r="G30" s="138"/>
      <c r="H30" s="461" t="str">
        <f t="shared" si="5"/>
        <v/>
      </c>
      <c r="I30" s="138"/>
      <c r="J30" s="248" t="str">
        <f t="shared" si="6"/>
        <v>FREE</v>
      </c>
      <c r="K30" s="281"/>
      <c r="L30" s="194"/>
      <c r="M30" s="194"/>
      <c r="N30" s="184">
        <f t="shared" si="7"/>
        <v>0</v>
      </c>
      <c r="O30" s="184">
        <f t="shared" si="8"/>
        <v>0</v>
      </c>
      <c r="P30" s="184">
        <f t="shared" si="9"/>
        <v>0</v>
      </c>
      <c r="Q30" s="185">
        <f>IF($J$11="fld",IF(K30&gt;0,J30*$G$142,0),SUM(N30:P30))</f>
        <v>0</v>
      </c>
    </row>
    <row r="31" spans="1:17" s="41" customFormat="1" ht="12" customHeight="1">
      <c r="A31" s="35" t="s">
        <v>36</v>
      </c>
      <c r="B31" s="246" t="s">
        <v>544</v>
      </c>
      <c r="C31" s="37"/>
      <c r="D31" s="37"/>
      <c r="E31" s="38"/>
      <c r="F31" s="39" t="str">
        <f>IF($J$11="fld",VLOOKUP(A31,'price sheet'!$A$3:$F$162,4,FALSE),IF($J$11="ret",VLOOKUP(A31,'price sheet'!$A$3:$F$162,6,FALSE),IF($J$11="par",VLOOKUP(A31,'price sheet'!$A$3:$F$162,5,FALSE),VLOOKUP(A31,'price sheet'!$A$3:$F$162,6,FALSE))))</f>
        <v>Free</v>
      </c>
      <c r="G31" s="138"/>
      <c r="H31" s="461" t="str">
        <f t="shared" si="5"/>
        <v/>
      </c>
      <c r="I31" s="138"/>
      <c r="J31" s="248" t="str">
        <f t="shared" si="6"/>
        <v>FREE</v>
      </c>
      <c r="K31" s="281"/>
      <c r="L31" s="194"/>
      <c r="M31" s="194"/>
      <c r="N31" s="184">
        <f t="shared" si="7"/>
        <v>0</v>
      </c>
      <c r="O31" s="184">
        <f t="shared" si="8"/>
        <v>0</v>
      </c>
      <c r="P31" s="184">
        <f t="shared" si="9"/>
        <v>0</v>
      </c>
      <c r="Q31" s="185">
        <f>IF($J$11="fld",IF(K31&gt;0,J31*$G$142,0),SUM(N31:P31))</f>
        <v>0</v>
      </c>
    </row>
    <row r="32" spans="1:17" s="41" customFormat="1" ht="12" customHeight="1">
      <c r="A32" s="35" t="s">
        <v>37</v>
      </c>
      <c r="B32" s="36" t="s">
        <v>43</v>
      </c>
      <c r="C32" s="37"/>
      <c r="D32" s="37"/>
      <c r="E32" s="38"/>
      <c r="F32" s="39" t="str">
        <f>IF($J$11="fld",VLOOKUP(A32,'price sheet'!$A$3:$F$162,4,FALSE),IF($J$11="ret",VLOOKUP(A32,'price sheet'!$A$3:$F$162,6,FALSE),IF($J$11="par",VLOOKUP(A32,'price sheet'!$A$3:$F$162,5,FALSE),VLOOKUP(A32,'price sheet'!$A$3:$F$162,6,FALSE))))</f>
        <v>Free</v>
      </c>
      <c r="G32" s="138"/>
      <c r="H32" s="461" t="str">
        <f t="shared" si="5"/>
        <v/>
      </c>
      <c r="I32" s="138"/>
      <c r="J32" s="248" t="str">
        <f t="shared" si="6"/>
        <v>FREE</v>
      </c>
      <c r="K32" s="281"/>
      <c r="L32" s="194"/>
      <c r="M32" s="194"/>
      <c r="N32" s="184">
        <f t="shared" si="7"/>
        <v>0</v>
      </c>
      <c r="O32" s="184">
        <f t="shared" si="8"/>
        <v>0</v>
      </c>
      <c r="P32" s="184">
        <f t="shared" si="9"/>
        <v>0</v>
      </c>
      <c r="Q32" s="185">
        <f>IF($J$11="fld",IF(K32&gt;0,J32*$G$142,0),SUM(N32:P32))</f>
        <v>0</v>
      </c>
    </row>
    <row r="33" spans="1:17" s="41" customFormat="1" ht="12" customHeight="1">
      <c r="A33" s="35" t="s">
        <v>38</v>
      </c>
      <c r="B33" s="36" t="s">
        <v>44</v>
      </c>
      <c r="C33" s="37"/>
      <c r="D33" s="37"/>
      <c r="E33" s="38"/>
      <c r="F33" s="39" t="str">
        <f>IF($J$11="fld",VLOOKUP(A33,'price sheet'!$A$3:$F$162,4,FALSE),IF($J$11="ret",VLOOKUP(A33,'price sheet'!$A$3:$F$162,6,FALSE),IF($J$11="par",VLOOKUP(A33,'price sheet'!$A$3:$F$162,5,FALSE),VLOOKUP(A33,'price sheet'!$A$3:$F$162,6,FALSE))))</f>
        <v>Free</v>
      </c>
      <c r="G33" s="138"/>
      <c r="H33" s="461" t="str">
        <f t="shared" si="5"/>
        <v/>
      </c>
      <c r="I33" s="138"/>
      <c r="J33" s="248" t="str">
        <f t="shared" si="6"/>
        <v>FREE</v>
      </c>
      <c r="K33" s="281"/>
      <c r="L33" s="194"/>
      <c r="M33" s="194"/>
      <c r="N33" s="184">
        <f t="shared" si="7"/>
        <v>0</v>
      </c>
      <c r="O33" s="184">
        <f t="shared" si="8"/>
        <v>0</v>
      </c>
      <c r="P33" s="184">
        <f t="shared" si="9"/>
        <v>0</v>
      </c>
      <c r="Q33" s="185">
        <f>IF($J$11="fld",IF(K33&gt;0,J33*$G$142,0),SUM(N33:P33))</f>
        <v>0</v>
      </c>
    </row>
    <row r="34" spans="1:17" s="41" customFormat="1" ht="12" customHeight="1">
      <c r="A34" s="35" t="s">
        <v>39</v>
      </c>
      <c r="B34" s="36" t="s">
        <v>45</v>
      </c>
      <c r="C34" s="37"/>
      <c r="D34" s="37"/>
      <c r="E34" s="38"/>
      <c r="F34" s="39" t="str">
        <f>IF($J$11="fld",VLOOKUP(A34,'price sheet'!$A$3:$F$162,4,FALSE),IF($J$11="ret",VLOOKUP(A34,'price sheet'!$A$3:$F$162,6,FALSE),IF($J$11="par",VLOOKUP(A34,'price sheet'!$A$3:$F$162,5,FALSE),VLOOKUP(A34,'price sheet'!$A$3:$F$162,6,FALSE))))</f>
        <v>Free</v>
      </c>
      <c r="G34" s="138"/>
      <c r="H34" s="461" t="str">
        <f t="shared" si="5"/>
        <v/>
      </c>
      <c r="I34" s="138"/>
      <c r="J34" s="248" t="str">
        <f t="shared" si="6"/>
        <v>FREE</v>
      </c>
      <c r="K34" s="281"/>
      <c r="L34" s="194"/>
      <c r="M34" s="194"/>
      <c r="N34" s="184">
        <f t="shared" si="7"/>
        <v>0</v>
      </c>
      <c r="O34" s="184">
        <f t="shared" si="8"/>
        <v>0</v>
      </c>
      <c r="P34" s="184">
        <f t="shared" si="9"/>
        <v>0</v>
      </c>
      <c r="Q34" s="185">
        <f>IF($J$11="fld",IF(K34&gt;0,J34*$G$142,0),SUM(N34:P34))</f>
        <v>0</v>
      </c>
    </row>
    <row r="35" spans="1:17" s="41" customFormat="1" ht="12" customHeight="1">
      <c r="A35" s="35" t="s">
        <v>40</v>
      </c>
      <c r="B35" s="36" t="s">
        <v>46</v>
      </c>
      <c r="C35" s="37"/>
      <c r="D35" s="37"/>
      <c r="E35" s="38"/>
      <c r="F35" s="39" t="str">
        <f>IF($J$11="fld",VLOOKUP(A35,'price sheet'!$A$3:$F$162,4,FALSE),IF($J$11="ret",VLOOKUP(A35,'price sheet'!$A$3:$F$162,6,FALSE),IF($J$11="par",VLOOKUP(A35,'price sheet'!$A$3:$F$162,5,FALSE),VLOOKUP(A35,'price sheet'!$A$3:$F$162,6,FALSE))))</f>
        <v>Free</v>
      </c>
      <c r="G35" s="138"/>
      <c r="H35" s="461" t="str">
        <f t="shared" si="5"/>
        <v/>
      </c>
      <c r="I35" s="138"/>
      <c r="J35" s="248" t="str">
        <f t="shared" si="6"/>
        <v>FREE</v>
      </c>
      <c r="K35" s="281"/>
      <c r="L35" s="194"/>
      <c r="M35" s="194"/>
      <c r="N35" s="184">
        <f t="shared" si="7"/>
        <v>0</v>
      </c>
      <c r="O35" s="184">
        <f t="shared" si="8"/>
        <v>0</v>
      </c>
      <c r="P35" s="184">
        <f t="shared" si="9"/>
        <v>0</v>
      </c>
      <c r="Q35" s="185">
        <f>IF($J$11="fld",IF(K35&gt;0,J35*$G$142,0),SUM(N35:P35))</f>
        <v>0</v>
      </c>
    </row>
    <row r="36" spans="1:17" s="41" customFormat="1" ht="12" customHeight="1">
      <c r="A36" s="35" t="s">
        <v>41</v>
      </c>
      <c r="B36" s="36" t="s">
        <v>47</v>
      </c>
      <c r="C36" s="37"/>
      <c r="D36" s="37"/>
      <c r="E36" s="38"/>
      <c r="F36" s="39" t="str">
        <f>IF($J$11="fld",VLOOKUP(A36,'price sheet'!$A$3:$F$162,4,FALSE),IF($J$11="ret",VLOOKUP(A36,'price sheet'!$A$3:$F$162,6,FALSE),IF($J$11="par",VLOOKUP(A36,'price sheet'!$A$3:$F$162,5,FALSE),VLOOKUP(A36,'price sheet'!$A$3:$F$162,6,FALSE))))</f>
        <v>Free</v>
      </c>
      <c r="G36" s="138"/>
      <c r="H36" s="461" t="str">
        <f t="shared" si="5"/>
        <v/>
      </c>
      <c r="I36" s="138"/>
      <c r="J36" s="248" t="str">
        <f t="shared" si="6"/>
        <v>FREE</v>
      </c>
      <c r="K36" s="281"/>
      <c r="L36" s="194"/>
      <c r="M36" s="194"/>
      <c r="N36" s="184">
        <f t="shared" si="7"/>
        <v>0</v>
      </c>
      <c r="O36" s="184">
        <f t="shared" si="8"/>
        <v>0</v>
      </c>
      <c r="P36" s="184">
        <f t="shared" si="9"/>
        <v>0</v>
      </c>
      <c r="Q36" s="185">
        <f>IF($J$11="fld",IF(K36&gt;0,J36*$G$142,0),SUM(N36:P36))</f>
        <v>0</v>
      </c>
    </row>
    <row r="37" spans="1:17" s="33" customFormat="1" ht="15.75">
      <c r="A37" s="339"/>
      <c r="B37" s="562" t="s">
        <v>542</v>
      </c>
      <c r="C37" s="563"/>
      <c r="D37" s="563"/>
      <c r="E37" s="564"/>
      <c r="F37" s="340"/>
      <c r="G37" s="341"/>
      <c r="H37" s="341"/>
      <c r="I37" s="341"/>
      <c r="J37" s="368">
        <f>SUM(J39:J46)</f>
        <v>0</v>
      </c>
      <c r="K37" s="447"/>
      <c r="L37" s="193"/>
      <c r="M37" s="193"/>
      <c r="N37" s="184"/>
      <c r="O37" s="184"/>
      <c r="P37" s="184"/>
      <c r="Q37" s="185"/>
    </row>
    <row r="38" spans="1:17" s="216" customFormat="1" ht="16.5">
      <c r="A38" s="244" t="s">
        <v>49</v>
      </c>
      <c r="B38" s="246" t="s">
        <v>649</v>
      </c>
      <c r="C38" s="448"/>
      <c r="D38" s="448"/>
      <c r="E38" s="448"/>
      <c r="F38" s="39">
        <f>IF($J$11="fld",VLOOKUP(A38,'price sheet'!$A$3:$F$162,4,FALSE),IF($J$11="ret",VLOOKUP(A38,'price sheet'!$A$3:$F$162,6,FALSE),IF($J$11="par",VLOOKUP(A38,'price sheet'!$A$3:$F$162,5,FALSE),VLOOKUP(A38,'price sheet'!$A$3:$F$162,6,FALSE))))</f>
        <v>3.1799999999999997</v>
      </c>
      <c r="G38" s="138"/>
      <c r="H38" s="461" t="str">
        <f>IF(K38="X","Back Ordered","")</f>
        <v/>
      </c>
      <c r="I38" s="138"/>
      <c r="J38" s="248">
        <f t="shared" ref="J38" si="10">IF(K38="x",0,IF(F38="n/a","N/A",IF(F38="free","FREE",IF(I38=0,SUM(G38*F38),SUM(I38*F38)))))</f>
        <v>0</v>
      </c>
      <c r="K38" s="449"/>
      <c r="L38" s="215"/>
      <c r="M38" s="215"/>
      <c r="N38" s="184">
        <f t="shared" ref="N38:N46" si="11">IF($J$11="ret",IF(G38&gt;9,J38*15%,0),0)</f>
        <v>0</v>
      </c>
      <c r="O38" s="184">
        <f t="shared" ref="O38:O46" si="12">IF($J$11="ret",IF(G38&gt;49,J38*10%,0),0)</f>
        <v>0</v>
      </c>
      <c r="P38" s="184">
        <f t="shared" ref="P38:P46" si="13">IF($J$11="ret",IF(G38&gt;99,J38*5%,0),0)</f>
        <v>0</v>
      </c>
      <c r="Q38" s="185">
        <f>IF($J$11="fld",IF(K38&gt;0,J38*$G$142,0),SUM(N38:P38))</f>
        <v>0</v>
      </c>
    </row>
    <row r="39" spans="1:17" s="216" customFormat="1" ht="16.5">
      <c r="A39" s="244" t="s">
        <v>563</v>
      </c>
      <c r="B39" s="246" t="s">
        <v>656</v>
      </c>
      <c r="C39" s="448"/>
      <c r="D39" s="448"/>
      <c r="E39" s="448"/>
      <c r="F39" s="39">
        <f>IF($J$11="fld",VLOOKUP(A39,'price sheet'!$A$3:$F$162,4,FALSE),IF($J$11="ret",VLOOKUP(A39,'price sheet'!$A$3:$F$162,6,FALSE),IF($J$11="par",VLOOKUP(A39,'price sheet'!$A$3:$F$162,5,FALSE),VLOOKUP(A39,'price sheet'!$A$3:$F$162,6,FALSE))))</f>
        <v>3.1799999999999997</v>
      </c>
      <c r="G39" s="138"/>
      <c r="H39" s="461" t="str">
        <f>IF(K39="X","Back Ordered","")</f>
        <v/>
      </c>
      <c r="I39" s="138"/>
      <c r="J39" s="248">
        <f t="shared" ref="J39:J44" si="14">IF(K39="x",0,IF(F39="n/a","N/A",IF(F39="free","FREE",IF(I39=0,SUM(G39*F39),SUM(I39*F39)))))</f>
        <v>0</v>
      </c>
      <c r="K39" s="449"/>
      <c r="L39" s="215"/>
      <c r="M39" s="215"/>
      <c r="N39" s="184">
        <f t="shared" si="11"/>
        <v>0</v>
      </c>
      <c r="O39" s="184">
        <f t="shared" si="12"/>
        <v>0</v>
      </c>
      <c r="P39" s="184">
        <f t="shared" si="13"/>
        <v>0</v>
      </c>
      <c r="Q39" s="185">
        <f>IF($J$11="fld",IF(K39&gt;0,J39*$G$142,0),SUM(N39:P39))</f>
        <v>0</v>
      </c>
    </row>
    <row r="40" spans="1:17" s="41" customFormat="1" ht="12" customHeight="1">
      <c r="A40" s="35" t="s">
        <v>445</v>
      </c>
      <c r="B40" s="246" t="s">
        <v>567</v>
      </c>
      <c r="C40" s="37"/>
      <c r="D40" s="37"/>
      <c r="E40" s="37"/>
      <c r="F40" s="39">
        <f>IF($J$11="fld",VLOOKUP(A40,'price sheet'!$A$3:$F$162,4,FALSE),IF($J$11="ret",VLOOKUP(A40,'price sheet'!$A$3:$F$162,6,FALSE),IF($J$11="par",VLOOKUP(A40,'price sheet'!$A$3:$F$162,5,FALSE),VLOOKUP(A40,'price sheet'!$A$3:$F$162,6,FALSE))))</f>
        <v>3.1799999999999997</v>
      </c>
      <c r="G40" s="138"/>
      <c r="H40" s="461" t="str">
        <f t="shared" ref="H40:H45" si="15">IF(K40="X","Back Ordered","")</f>
        <v/>
      </c>
      <c r="I40" s="138"/>
      <c r="J40" s="248">
        <f t="shared" si="14"/>
        <v>0</v>
      </c>
      <c r="K40" s="281"/>
      <c r="L40" s="194"/>
      <c r="M40" s="194"/>
      <c r="N40" s="184">
        <f t="shared" si="11"/>
        <v>0</v>
      </c>
      <c r="O40" s="184">
        <f t="shared" si="12"/>
        <v>0</v>
      </c>
      <c r="P40" s="184">
        <f t="shared" si="13"/>
        <v>0</v>
      </c>
      <c r="Q40" s="185">
        <f>IF($J$11="fld",IF(K40&gt;0,J40*$G$142,0),SUM(N40:P40))</f>
        <v>0</v>
      </c>
    </row>
    <row r="41" spans="1:17" s="41" customFormat="1" ht="12" customHeight="1">
      <c r="A41" s="35" t="s">
        <v>440</v>
      </c>
      <c r="B41" s="246" t="s">
        <v>568</v>
      </c>
      <c r="C41" s="37"/>
      <c r="D41" s="37"/>
      <c r="E41" s="37"/>
      <c r="F41" s="39">
        <f>IF($J$11="fld",VLOOKUP(A41,'price sheet'!$A$3:$F$162,4,FALSE),IF($J$11="ret",VLOOKUP(A41,'price sheet'!$A$3:$F$162,6,FALSE),IF($J$11="par",VLOOKUP(A41,'price sheet'!$A$3:$F$162,5,FALSE),VLOOKUP(A41,'price sheet'!$A$3:$F$162,6,FALSE))))</f>
        <v>3.1799999999999997</v>
      </c>
      <c r="G41" s="138"/>
      <c r="H41" s="461" t="str">
        <f t="shared" si="15"/>
        <v/>
      </c>
      <c r="I41" s="138"/>
      <c r="J41" s="248">
        <f t="shared" si="14"/>
        <v>0</v>
      </c>
      <c r="K41" s="281"/>
      <c r="L41" s="194"/>
      <c r="M41" s="194"/>
      <c r="N41" s="184">
        <f t="shared" si="11"/>
        <v>0</v>
      </c>
      <c r="O41" s="184">
        <f t="shared" si="12"/>
        <v>0</v>
      </c>
      <c r="P41" s="184">
        <f t="shared" si="13"/>
        <v>0</v>
      </c>
      <c r="Q41" s="185">
        <f>IF($J$11="fld",IF(K41&gt;0,J41*$G$142,0),SUM(N41:P41))</f>
        <v>0</v>
      </c>
    </row>
    <row r="42" spans="1:17" s="41" customFormat="1" ht="12" customHeight="1">
      <c r="A42" s="244" t="s">
        <v>442</v>
      </c>
      <c r="B42" s="246" t="s">
        <v>650</v>
      </c>
      <c r="C42" s="37"/>
      <c r="D42" s="37"/>
      <c r="E42" s="37"/>
      <c r="F42" s="39">
        <v>3.18</v>
      </c>
      <c r="G42" s="138"/>
      <c r="H42" s="461"/>
      <c r="I42" s="138"/>
      <c r="J42" s="248"/>
      <c r="K42" s="281"/>
      <c r="L42" s="194"/>
      <c r="M42" s="194"/>
      <c r="N42" s="184">
        <f t="shared" si="11"/>
        <v>0</v>
      </c>
      <c r="O42" s="184">
        <f t="shared" si="12"/>
        <v>0</v>
      </c>
      <c r="P42" s="184">
        <f t="shared" si="13"/>
        <v>0</v>
      </c>
      <c r="Q42" s="185">
        <f>IF($J$11="fld",IF(K42&gt;0,J42*$G$142,0),SUM(N42:P42))</f>
        <v>0</v>
      </c>
    </row>
    <row r="43" spans="1:17" s="41" customFormat="1" ht="12" customHeight="1">
      <c r="A43" s="35" t="s">
        <v>444</v>
      </c>
      <c r="B43" s="246" t="s">
        <v>569</v>
      </c>
      <c r="C43" s="37"/>
      <c r="D43" s="37"/>
      <c r="E43" s="37"/>
      <c r="F43" s="39">
        <f>IF($J$11="fld",VLOOKUP(A43,'price sheet'!$A$3:$F$162,4,FALSE),IF($J$11="ret",VLOOKUP(A43,'price sheet'!$A$3:$F$162,6,FALSE),IF($J$11="par",VLOOKUP(A43,'price sheet'!$A$3:$F$162,5,FALSE),VLOOKUP(A43,'price sheet'!$A$3:$F$162,6,FALSE))))</f>
        <v>3.1799999999999997</v>
      </c>
      <c r="G43" s="138"/>
      <c r="H43" s="461" t="str">
        <f t="shared" si="15"/>
        <v/>
      </c>
      <c r="I43" s="138"/>
      <c r="J43" s="248">
        <f t="shared" si="14"/>
        <v>0</v>
      </c>
      <c r="K43" s="281"/>
      <c r="L43" s="194"/>
      <c r="M43" s="194"/>
      <c r="N43" s="184">
        <f t="shared" si="11"/>
        <v>0</v>
      </c>
      <c r="O43" s="184">
        <f t="shared" si="12"/>
        <v>0</v>
      </c>
      <c r="P43" s="184">
        <f t="shared" si="13"/>
        <v>0</v>
      </c>
      <c r="Q43" s="185">
        <f>IF($J$11="fld",IF(K43&gt;0,J43*$G$142,0),SUM(N43:P43))</f>
        <v>0</v>
      </c>
    </row>
    <row r="44" spans="1:17" s="41" customFormat="1" ht="12" customHeight="1">
      <c r="A44" s="244" t="s">
        <v>564</v>
      </c>
      <c r="B44" s="246" t="s">
        <v>651</v>
      </c>
      <c r="C44" s="37"/>
      <c r="D44" s="37"/>
      <c r="E44" s="37"/>
      <c r="F44" s="39">
        <f>IF($J$11="fld",VLOOKUP(A44,'price sheet'!$A$3:$F$162,4,FALSE),IF($J$11="ret",VLOOKUP(A44,'price sheet'!$A$3:$F$162,6,FALSE),IF($J$11="par",VLOOKUP(A44,'price sheet'!$A$3:$F$162,5,FALSE),VLOOKUP(A44,'price sheet'!$A$3:$F$162,6,FALSE))))</f>
        <v>3.1799999999999997</v>
      </c>
      <c r="G44" s="138"/>
      <c r="H44" s="461" t="str">
        <f t="shared" si="15"/>
        <v/>
      </c>
      <c r="I44" s="138"/>
      <c r="J44" s="248">
        <f t="shared" si="14"/>
        <v>0</v>
      </c>
      <c r="K44" s="281"/>
      <c r="L44" s="194"/>
      <c r="M44" s="194"/>
      <c r="N44" s="184">
        <f t="shared" si="11"/>
        <v>0</v>
      </c>
      <c r="O44" s="184">
        <f t="shared" si="12"/>
        <v>0</v>
      </c>
      <c r="P44" s="184">
        <f t="shared" si="13"/>
        <v>0</v>
      </c>
      <c r="Q44" s="185">
        <f>IF($J$11="fld",IF(K44&gt;0,J44*$G$142,0),SUM(N44:P44))</f>
        <v>0</v>
      </c>
    </row>
    <row r="45" spans="1:17" s="41" customFormat="1" ht="12" customHeight="1">
      <c r="A45" s="244" t="s">
        <v>565</v>
      </c>
      <c r="B45" s="244" t="s">
        <v>652</v>
      </c>
      <c r="C45" s="36"/>
      <c r="D45" s="37"/>
      <c r="E45" s="38"/>
      <c r="F45" s="39">
        <f>IF($J$11="fld",VLOOKUP(A45,'price sheet'!$A$3:$F$162,4,FALSE),IF($J$11="ret",VLOOKUP(A45,'price sheet'!$A$3:$F$162,6,FALSE),IF($J$11="par",VLOOKUP(A45,'price sheet'!$A$3:$F$162,5,FALSE),VLOOKUP(A45,'price sheet'!$A$3:$F$162,6,FALSE))))</f>
        <v>8.3999999999999986</v>
      </c>
      <c r="G45" s="138"/>
      <c r="H45" s="461" t="str">
        <f t="shared" si="15"/>
        <v/>
      </c>
      <c r="I45" s="138"/>
      <c r="J45" s="248">
        <f>IF(K45="x",0,IF(F45="n/a","N/A",IF(F45="free","FREE",IF(I45=0,SUM(G45*F45),SUM(I45*F45)))))</f>
        <v>0</v>
      </c>
      <c r="K45" s="281"/>
      <c r="L45" s="194"/>
      <c r="M45" s="194"/>
      <c r="N45" s="184">
        <f t="shared" si="11"/>
        <v>0</v>
      </c>
      <c r="O45" s="184">
        <f t="shared" si="12"/>
        <v>0</v>
      </c>
      <c r="P45" s="184">
        <f t="shared" si="13"/>
        <v>0</v>
      </c>
      <c r="Q45" s="185">
        <f>IF($J$11="fld",IF(K45&gt;0,J45*$G$142,0),SUM(N45:P45))</f>
        <v>0</v>
      </c>
    </row>
    <row r="46" spans="1:17" s="41" customFormat="1">
      <c r="A46" s="244" t="s">
        <v>566</v>
      </c>
      <c r="B46" s="246" t="s">
        <v>615</v>
      </c>
      <c r="C46" s="37"/>
      <c r="D46" s="37"/>
      <c r="E46" s="38"/>
      <c r="F46" s="39">
        <f>IF($J$11="fld",VLOOKUP(A46,'price sheet'!$A$3:$F$162,4,FALSE),IF($J$11="ret",VLOOKUP(A46,'price sheet'!$A$3:$F$162,6,FALSE),IF($J$11="par",VLOOKUP(A46,'price sheet'!$A$3:$F$162,5,FALSE),VLOOKUP(A46,'price sheet'!$A$3:$F$162,6,FALSE))))</f>
        <v>1.74</v>
      </c>
      <c r="G46" s="138"/>
      <c r="H46" s="461" t="str">
        <f>IF(K46="X","Back Ordered","")</f>
        <v/>
      </c>
      <c r="I46" s="138"/>
      <c r="J46" s="248">
        <f>IF(K46="x",0,IF(F46="n/a","N/A",IF(F46="free","FREE",IF(I46=0,SUM(G46*F46),SUM(I46*F46)))))</f>
        <v>0</v>
      </c>
      <c r="K46" s="281"/>
      <c r="L46" s="194"/>
      <c r="M46" s="194"/>
      <c r="N46" s="184">
        <f t="shared" si="11"/>
        <v>0</v>
      </c>
      <c r="O46" s="184">
        <f t="shared" si="12"/>
        <v>0</v>
      </c>
      <c r="P46" s="184">
        <f t="shared" si="13"/>
        <v>0</v>
      </c>
      <c r="Q46" s="185">
        <f>IF($J$11="fld",IF(K46&gt;0,J46*$G$142,0),SUM(N46:P46))</f>
        <v>0</v>
      </c>
    </row>
    <row r="47" spans="1:17" s="33" customFormat="1" ht="15.75">
      <c r="A47" s="345"/>
      <c r="B47" s="556" t="s">
        <v>66</v>
      </c>
      <c r="C47" s="557"/>
      <c r="D47" s="557"/>
      <c r="E47" s="558"/>
      <c r="F47" s="346"/>
      <c r="G47" s="347"/>
      <c r="H47" s="347"/>
      <c r="I47" s="462">
        <f>SUM(J39:J44)</f>
        <v>0</v>
      </c>
      <c r="J47" s="369">
        <f>SUM(J48:J63)</f>
        <v>0</v>
      </c>
      <c r="K47" s="447"/>
      <c r="L47" s="193"/>
      <c r="N47" s="184"/>
      <c r="O47" s="184"/>
      <c r="P47" s="184"/>
      <c r="Q47" s="185"/>
    </row>
    <row r="48" spans="1:17" s="41" customFormat="1" ht="12" customHeight="1">
      <c r="A48" s="35" t="s">
        <v>446</v>
      </c>
      <c r="B48" s="245" t="s">
        <v>601</v>
      </c>
      <c r="C48" s="61"/>
      <c r="D48" s="61"/>
      <c r="E48" s="37"/>
      <c r="F48" s="39" t="str">
        <f>IF($J$11="fld",VLOOKUP(A48,'price sheet'!$A$3:$F$162,4,FALSE),IF($J$11="ret",VLOOKUP(A48,'price sheet'!$A$3:$F$162,6,FALSE),IF($J$11="par",VLOOKUP(A48,'price sheet'!$A$3:$F$162,5,FALSE),VLOOKUP(A48,'price sheet'!$A$3:$F$162,6,FALSE))))</f>
        <v>FREE</v>
      </c>
      <c r="G48" s="138"/>
      <c r="H48" s="461" t="str">
        <f t="shared" ref="H48:H54" si="16">IF(K48="X","Back Ordered","")</f>
        <v/>
      </c>
      <c r="I48" s="138"/>
      <c r="J48" s="248" t="str">
        <f t="shared" ref="J48:J54" si="17">IF(K48="x",0,IF(F48="n/a","N/A",IF(F48="free","FREE",IF(I48=0,SUM(G48*F48),SUM(I48*F48)))))</f>
        <v>FREE</v>
      </c>
      <c r="K48" s="281"/>
      <c r="L48" s="194"/>
      <c r="M48" s="194"/>
      <c r="N48" s="184">
        <f t="shared" ref="N48:N63" si="18">IF($J$11="ret",IF(G48&gt;9,J48*15%,0),0)</f>
        <v>0</v>
      </c>
      <c r="O48" s="184">
        <f t="shared" ref="O48:O63" si="19">IF($J$11="ret",IF(G48&gt;49,J48*10%,0),0)</f>
        <v>0</v>
      </c>
      <c r="P48" s="184">
        <f t="shared" ref="P48:P63" si="20">IF($J$11="ret",IF(G48&gt;99,J48*5%,0),0)</f>
        <v>0</v>
      </c>
      <c r="Q48" s="185">
        <f>IF($J$11="fld",IF(K48&gt;0,J48*$G$142,0),SUM(N48:P48))</f>
        <v>0</v>
      </c>
    </row>
    <row r="49" spans="1:17" s="507" customFormat="1" ht="12" hidden="1" customHeight="1">
      <c r="A49" s="495" t="s">
        <v>68</v>
      </c>
      <c r="B49" s="496" t="s">
        <v>587</v>
      </c>
      <c r="C49" s="497"/>
      <c r="D49" s="497"/>
      <c r="E49" s="498"/>
      <c r="F49" s="499">
        <f>IF($J$11="fld",VLOOKUP(A49,'price sheet'!$A$3:$F$162,4,FALSE),IF($J$11="ret",VLOOKUP(A49,'price sheet'!$A$3:$F$162,6,FALSE),IF($J$11="par",VLOOKUP(A49,'price sheet'!$A$3:$F$162,5,FALSE),VLOOKUP(A49,'price sheet'!$A$3:$F$162,6,FALSE))))</f>
        <v>3.36</v>
      </c>
      <c r="G49" s="500"/>
      <c r="H49" s="501" t="str">
        <f t="shared" si="16"/>
        <v/>
      </c>
      <c r="I49" s="500"/>
      <c r="J49" s="502">
        <f t="shared" si="17"/>
        <v>0</v>
      </c>
      <c r="K49" s="503"/>
      <c r="L49" s="504"/>
      <c r="M49" s="504"/>
      <c r="N49" s="505">
        <f t="shared" si="18"/>
        <v>0</v>
      </c>
      <c r="O49" s="505">
        <f t="shared" si="19"/>
        <v>0</v>
      </c>
      <c r="P49" s="505">
        <f t="shared" si="20"/>
        <v>0</v>
      </c>
      <c r="Q49" s="506">
        <f>IF($J$11="fld",IF(K49&gt;0,J49*$G$142,0),SUM(N49:P49))</f>
        <v>0</v>
      </c>
    </row>
    <row r="50" spans="1:17" s="41" customFormat="1" ht="12" customHeight="1">
      <c r="A50" s="35" t="s">
        <v>447</v>
      </c>
      <c r="B50" s="245" t="s">
        <v>604</v>
      </c>
      <c r="C50" s="61"/>
      <c r="D50" s="61"/>
      <c r="E50" s="104"/>
      <c r="F50" s="39" t="str">
        <f>IF($J$11="fld",VLOOKUP(A50,'price sheet'!$A$3:$F$162,4,FALSE),IF($J$11="ret",VLOOKUP(A50,'price sheet'!$A$3:$F$162,6,FALSE),IF($J$11="par",VLOOKUP(A50,'price sheet'!$A$3:$F$162,5,FALSE),VLOOKUP(A50,'price sheet'!$A$3:$F$162,6,FALSE))))</f>
        <v>FREE</v>
      </c>
      <c r="G50" s="138"/>
      <c r="H50" s="461" t="str">
        <f t="shared" si="16"/>
        <v/>
      </c>
      <c r="I50" s="138"/>
      <c r="J50" s="248" t="str">
        <f t="shared" si="17"/>
        <v>FREE</v>
      </c>
      <c r="K50" s="281"/>
      <c r="L50" s="194"/>
      <c r="M50" s="194"/>
      <c r="N50" s="184">
        <f t="shared" si="18"/>
        <v>0</v>
      </c>
      <c r="O50" s="184">
        <f t="shared" si="19"/>
        <v>0</v>
      </c>
      <c r="P50" s="184">
        <f t="shared" si="20"/>
        <v>0</v>
      </c>
      <c r="Q50" s="185">
        <f>IF($J$11="fld",IF(K50&gt;0,J50*$G$142,0),SUM(N50:P50))</f>
        <v>0</v>
      </c>
    </row>
    <row r="51" spans="1:17" s="507" customFormat="1" ht="12" hidden="1" customHeight="1">
      <c r="A51" s="495" t="s">
        <v>69</v>
      </c>
      <c r="B51" s="496" t="s">
        <v>588</v>
      </c>
      <c r="C51" s="497"/>
      <c r="D51" s="497"/>
      <c r="E51" s="508"/>
      <c r="F51" s="499">
        <f>IF($J$11="fld",VLOOKUP(A51,'price sheet'!$A$3:$F$162,4,FALSE),IF($J$11="ret",VLOOKUP(A51,'price sheet'!$A$3:$F$162,6,FALSE),IF($J$11="par",VLOOKUP(A51,'price sheet'!$A$3:$F$162,5,FALSE),VLOOKUP(A51,'price sheet'!$A$3:$F$162,6,FALSE))))</f>
        <v>3.36</v>
      </c>
      <c r="G51" s="500"/>
      <c r="H51" s="501" t="str">
        <f t="shared" si="16"/>
        <v/>
      </c>
      <c r="I51" s="500"/>
      <c r="J51" s="502">
        <f t="shared" si="17"/>
        <v>0</v>
      </c>
      <c r="K51" s="503"/>
      <c r="L51" s="504"/>
      <c r="M51" s="504"/>
      <c r="N51" s="505">
        <f t="shared" si="18"/>
        <v>0</v>
      </c>
      <c r="O51" s="505">
        <f t="shared" si="19"/>
        <v>0</v>
      </c>
      <c r="P51" s="505">
        <f t="shared" si="20"/>
        <v>0</v>
      </c>
      <c r="Q51" s="506">
        <f>IF($J$11="fld",IF(K51&gt;0,J51*$G$142,0),SUM(N51:P51))</f>
        <v>0</v>
      </c>
    </row>
    <row r="52" spans="1:17" s="41" customFormat="1" ht="12" customHeight="1">
      <c r="A52" s="35" t="s">
        <v>448</v>
      </c>
      <c r="B52" s="245" t="s">
        <v>602</v>
      </c>
      <c r="C52" s="61"/>
      <c r="D52" s="61"/>
      <c r="E52" s="37"/>
      <c r="F52" s="39" t="str">
        <f>IF($J$11="fld",VLOOKUP(A52,'price sheet'!$A$3:$F$162,4,FALSE),IF($J$11="ret",VLOOKUP(A52,'price sheet'!$A$3:$F$162,6,FALSE),IF($J$11="par",VLOOKUP(A52,'price sheet'!$A$3:$F$162,5,FALSE),VLOOKUP(A52,'price sheet'!$A$3:$F$162,6,FALSE))))</f>
        <v>FREE</v>
      </c>
      <c r="G52" s="138"/>
      <c r="H52" s="461" t="str">
        <f t="shared" si="16"/>
        <v/>
      </c>
      <c r="I52" s="138"/>
      <c r="J52" s="248" t="str">
        <f t="shared" si="17"/>
        <v>FREE</v>
      </c>
      <c r="K52" s="281"/>
      <c r="L52" s="194"/>
      <c r="M52" s="194"/>
      <c r="N52" s="184">
        <f t="shared" si="18"/>
        <v>0</v>
      </c>
      <c r="O52" s="184">
        <f t="shared" si="19"/>
        <v>0</v>
      </c>
      <c r="P52" s="184">
        <f t="shared" si="20"/>
        <v>0</v>
      </c>
      <c r="Q52" s="185">
        <f>IF($J$11="fld",IF(K52&gt;0,J52*$G$142,0),SUM(N52:P52))</f>
        <v>0</v>
      </c>
    </row>
    <row r="53" spans="1:17" s="41" customFormat="1" ht="12" customHeight="1">
      <c r="A53" s="35" t="s">
        <v>449</v>
      </c>
      <c r="B53" s="245" t="s">
        <v>603</v>
      </c>
      <c r="C53" s="61"/>
      <c r="D53" s="61"/>
      <c r="E53" s="37"/>
      <c r="F53" s="39" t="str">
        <f>IF($J$11="fld",VLOOKUP(A53,'price sheet'!$A$3:$F$162,4,FALSE),IF($J$11="ret",VLOOKUP(A53,'price sheet'!$A$3:$F$162,6,FALSE),IF($J$11="par",VLOOKUP(A53,'price sheet'!$A$3:$F$162,5,FALSE),VLOOKUP(A53,'price sheet'!$A$3:$F$162,6,FALSE))))</f>
        <v>FREE</v>
      </c>
      <c r="G53" s="138"/>
      <c r="H53" s="461" t="str">
        <f t="shared" si="16"/>
        <v/>
      </c>
      <c r="I53" s="138"/>
      <c r="J53" s="248" t="str">
        <f t="shared" si="17"/>
        <v>FREE</v>
      </c>
      <c r="K53" s="281"/>
      <c r="L53" s="194"/>
      <c r="M53" s="194"/>
      <c r="N53" s="184">
        <f t="shared" si="18"/>
        <v>0</v>
      </c>
      <c r="O53" s="184">
        <f t="shared" si="19"/>
        <v>0</v>
      </c>
      <c r="P53" s="184">
        <f t="shared" si="20"/>
        <v>0</v>
      </c>
      <c r="Q53" s="185">
        <f>IF($J$11="fld",IF(K53&gt;0,J53*$G$142,0),SUM(N53:P53))</f>
        <v>0</v>
      </c>
    </row>
    <row r="54" spans="1:17" s="41" customFormat="1" ht="12" customHeight="1">
      <c r="A54" s="35" t="s">
        <v>450</v>
      </c>
      <c r="B54" s="245" t="s">
        <v>605</v>
      </c>
      <c r="C54" s="61"/>
      <c r="D54" s="61"/>
      <c r="E54" s="37"/>
      <c r="F54" s="39" t="str">
        <f>IF($J$11="fld",VLOOKUP(A54,'price sheet'!$A$3:$F$162,4,FALSE),IF($J$11="ret",VLOOKUP(A54,'price sheet'!$A$3:$F$162,6,FALSE),IF($J$11="par",VLOOKUP(A54,'price sheet'!$A$3:$F$162,5,FALSE),VLOOKUP(A54,'price sheet'!$A$3:$F$162,6,FALSE))))</f>
        <v>FREE</v>
      </c>
      <c r="G54" s="138"/>
      <c r="H54" s="461" t="str">
        <f t="shared" si="16"/>
        <v/>
      </c>
      <c r="I54" s="138"/>
      <c r="J54" s="248" t="str">
        <f t="shared" si="17"/>
        <v>FREE</v>
      </c>
      <c r="K54" s="281"/>
      <c r="L54" s="194"/>
      <c r="M54" s="194"/>
      <c r="N54" s="184">
        <f t="shared" si="18"/>
        <v>0</v>
      </c>
      <c r="O54" s="184">
        <f t="shared" si="19"/>
        <v>0</v>
      </c>
      <c r="P54" s="184">
        <f t="shared" si="20"/>
        <v>0</v>
      </c>
      <c r="Q54" s="185">
        <f>IF($J$11="fld",IF(K54&gt;0,J54*$G$142,0),SUM(N54:P54))</f>
        <v>0</v>
      </c>
    </row>
    <row r="55" spans="1:17" s="41" customFormat="1" ht="12" customHeight="1">
      <c r="A55" s="35" t="s">
        <v>452</v>
      </c>
      <c r="B55" s="245" t="s">
        <v>607</v>
      </c>
      <c r="C55" s="61"/>
      <c r="D55" s="61"/>
      <c r="E55" s="37"/>
      <c r="F55" s="39" t="str">
        <f>IF($J$11="fld",VLOOKUP(A55,'price sheet'!$A$3:$F$162,4,FALSE),IF($J$11="ret",VLOOKUP(A55,'price sheet'!$A$3:$F$162,6,FALSE),IF($J$11="par",VLOOKUP(A55,'price sheet'!$A$3:$F$162,5,FALSE),VLOOKUP(A55,'price sheet'!$A$3:$F$162,6,FALSE))))</f>
        <v>FREE</v>
      </c>
      <c r="G55" s="138"/>
      <c r="H55" s="461" t="str">
        <f>IF(K55="X","Back Ordered","")</f>
        <v/>
      </c>
      <c r="I55" s="138"/>
      <c r="J55" s="248" t="str">
        <f>IF(K55="x",0,IF(F55="n/a","N/A",IF(F55="free","FREE",IF(I55=0,SUM(G55*F55),SUM(I55*F55)))))</f>
        <v>FREE</v>
      </c>
      <c r="K55" s="281"/>
      <c r="L55" s="194"/>
      <c r="M55" s="194"/>
      <c r="N55" s="184">
        <f t="shared" si="18"/>
        <v>0</v>
      </c>
      <c r="O55" s="184">
        <f t="shared" si="19"/>
        <v>0</v>
      </c>
      <c r="P55" s="184">
        <f t="shared" si="20"/>
        <v>0</v>
      </c>
      <c r="Q55" s="185">
        <f>IF($J$11="fld",IF(K55&gt;0,J55*$G$142,0),SUM(N55:P55))</f>
        <v>0</v>
      </c>
    </row>
    <row r="56" spans="1:17" s="41" customFormat="1" ht="12" customHeight="1">
      <c r="A56" s="35" t="s">
        <v>451</v>
      </c>
      <c r="B56" s="245" t="s">
        <v>606</v>
      </c>
      <c r="C56" s="61"/>
      <c r="D56" s="61"/>
      <c r="E56" s="37"/>
      <c r="F56" s="39" t="str">
        <f>IF($J$11="fld",VLOOKUP(A56,'price sheet'!$A$3:$F$162,4,FALSE),IF($J$11="ret",VLOOKUP(A56,'price sheet'!$A$3:$F$162,6,FALSE),IF($J$11="par",VLOOKUP(A56,'price sheet'!$A$3:$F$162,5,FALSE),VLOOKUP(A56,'price sheet'!$A$3:$F$162,6,FALSE))))</f>
        <v>FREE</v>
      </c>
      <c r="G56" s="138"/>
      <c r="H56" s="461" t="str">
        <f>IF(K56="X","Back Ordered","")</f>
        <v/>
      </c>
      <c r="I56" s="138"/>
      <c r="J56" s="248" t="str">
        <f>IF(K56="x",0,IF(F56="n/a","N/A",IF(F56="free","FREE",IF(I56=0,SUM(G56*F56),SUM(I56*F56)))))</f>
        <v>FREE</v>
      </c>
      <c r="K56" s="281"/>
      <c r="L56" s="194"/>
      <c r="M56" s="194"/>
      <c r="N56" s="184">
        <f t="shared" si="18"/>
        <v>0</v>
      </c>
      <c r="O56" s="184">
        <f t="shared" si="19"/>
        <v>0</v>
      </c>
      <c r="P56" s="184">
        <f t="shared" si="20"/>
        <v>0</v>
      </c>
      <c r="Q56" s="185">
        <f>IF($J$11="fld",IF(K56&gt;0,J56*$G$142,0),SUM(N56:P56))</f>
        <v>0</v>
      </c>
    </row>
    <row r="57" spans="1:17" s="41" customFormat="1" ht="12" customHeight="1">
      <c r="A57" s="35" t="s">
        <v>487</v>
      </c>
      <c r="B57" s="245" t="s">
        <v>608</v>
      </c>
      <c r="C57" s="61"/>
      <c r="D57" s="61"/>
      <c r="E57" s="37"/>
      <c r="F57" s="39" t="str">
        <f>IF($J$11="fld",VLOOKUP(A57,'price sheet'!$A$3:$F$162,4,FALSE),IF($J$11="ret",VLOOKUP(A57,'price sheet'!$A$3:$F$162,6,FALSE),IF($J$11="par",VLOOKUP(A57,'price sheet'!$A$3:$F$162,5,FALSE),VLOOKUP(A57,'price sheet'!$A$3:$F$162,6,FALSE))))</f>
        <v>FREE</v>
      </c>
      <c r="G57" s="138"/>
      <c r="H57" s="461"/>
      <c r="I57" s="138"/>
      <c r="J57" s="248" t="str">
        <f t="shared" ref="J57:J63" si="21">IF(K57="x",0,IF(F57="n/a","N/A",IF(F57="free","FREE",IF(I57=0,SUM(G57*F57),SUM(I57*F57)))))</f>
        <v>FREE</v>
      </c>
      <c r="K57" s="281"/>
      <c r="L57" s="194"/>
      <c r="M57" s="194"/>
      <c r="N57" s="184">
        <f t="shared" si="18"/>
        <v>0</v>
      </c>
      <c r="O57" s="184">
        <f t="shared" si="19"/>
        <v>0</v>
      </c>
      <c r="P57" s="184">
        <f t="shared" si="20"/>
        <v>0</v>
      </c>
      <c r="Q57" s="185">
        <f>IF($J$11="fld",IF(K57&gt;0,J57*$G$142,0),SUM(N57:P57))</f>
        <v>0</v>
      </c>
    </row>
    <row r="58" spans="1:17" s="41" customFormat="1" ht="12" customHeight="1">
      <c r="A58" s="35" t="s">
        <v>454</v>
      </c>
      <c r="B58" s="245" t="s">
        <v>609</v>
      </c>
      <c r="C58" s="61"/>
      <c r="D58" s="61"/>
      <c r="E58" s="37"/>
      <c r="F58" s="39" t="str">
        <f>IF($J$11="fld",VLOOKUP(A58,'price sheet'!$A$3:$F$162,4,FALSE),IF($J$11="ret",VLOOKUP(A58,'price sheet'!$A$3:$F$162,6,FALSE),IF($J$11="par",VLOOKUP(A58,'price sheet'!$A$3:$F$162,5,FALSE),VLOOKUP(A58,'price sheet'!$A$3:$F$162,6,FALSE))))</f>
        <v>FREE</v>
      </c>
      <c r="G58" s="138"/>
      <c r="H58" s="461" t="str">
        <f t="shared" ref="H58:H63" si="22">IF(K58="X","Back Ordered","")</f>
        <v/>
      </c>
      <c r="I58" s="138"/>
      <c r="J58" s="248" t="str">
        <f t="shared" si="21"/>
        <v>FREE</v>
      </c>
      <c r="K58" s="281"/>
      <c r="L58" s="194"/>
      <c r="M58" s="194"/>
      <c r="N58" s="184">
        <f t="shared" si="18"/>
        <v>0</v>
      </c>
      <c r="O58" s="184">
        <f t="shared" si="19"/>
        <v>0</v>
      </c>
      <c r="P58" s="184">
        <f t="shared" si="20"/>
        <v>0</v>
      </c>
      <c r="Q58" s="185">
        <f>IF($J$11="fld",IF(K58&gt;0,J58*$G$142,0),SUM(N58:P58))</f>
        <v>0</v>
      </c>
    </row>
    <row r="59" spans="1:17" s="41" customFormat="1" ht="12" customHeight="1">
      <c r="A59" s="35" t="s">
        <v>453</v>
      </c>
      <c r="B59" s="245" t="s">
        <v>610</v>
      </c>
      <c r="C59" s="61"/>
      <c r="D59" s="61"/>
      <c r="E59" s="37"/>
      <c r="F59" s="39" t="str">
        <f>IF($J$11="fld",VLOOKUP(A59,'price sheet'!$A$3:$F$162,4,FALSE),IF($J$11="ret",VLOOKUP(A59,'price sheet'!$A$3:$F$162,6,FALSE),IF($J$11="par",VLOOKUP(A59,'price sheet'!$A$3:$F$162,5,FALSE),VLOOKUP(A59,'price sheet'!$A$3:$F$162,6,FALSE))))</f>
        <v>FREE</v>
      </c>
      <c r="G59" s="138"/>
      <c r="H59" s="461" t="str">
        <f t="shared" si="22"/>
        <v/>
      </c>
      <c r="I59" s="138"/>
      <c r="J59" s="248" t="str">
        <f t="shared" si="21"/>
        <v>FREE</v>
      </c>
      <c r="K59" s="281"/>
      <c r="L59" s="194"/>
      <c r="M59" s="194"/>
      <c r="N59" s="184">
        <f t="shared" si="18"/>
        <v>0</v>
      </c>
      <c r="O59" s="184">
        <f t="shared" si="19"/>
        <v>0</v>
      </c>
      <c r="P59" s="184">
        <f t="shared" si="20"/>
        <v>0</v>
      </c>
      <c r="Q59" s="185">
        <f>IF($J$11="fld",IF(K59&gt;0,J59*$G$142,0),SUM(N59:P59))</f>
        <v>0</v>
      </c>
    </row>
    <row r="60" spans="1:17" s="41" customFormat="1" ht="12" customHeight="1">
      <c r="A60" s="35" t="s">
        <v>457</v>
      </c>
      <c r="B60" s="245" t="s">
        <v>611</v>
      </c>
      <c r="C60" s="61"/>
      <c r="D60" s="61"/>
      <c r="E60" s="37"/>
      <c r="F60" s="39" t="str">
        <f>IF($J$11="fld",VLOOKUP(A60,'price sheet'!$A$3:$F$162,4,FALSE),IF($J$11="ret",VLOOKUP(A60,'price sheet'!$A$3:$F$162,6,FALSE),IF($J$11="par",VLOOKUP(A60,'price sheet'!$A$3:$F$162,5,FALSE),VLOOKUP(A60,'price sheet'!$A$3:$F$162,6,FALSE))))</f>
        <v>FREE</v>
      </c>
      <c r="G60" s="138"/>
      <c r="H60" s="461" t="str">
        <f t="shared" si="22"/>
        <v/>
      </c>
      <c r="I60" s="138"/>
      <c r="J60" s="248" t="str">
        <f t="shared" si="21"/>
        <v>FREE</v>
      </c>
      <c r="K60" s="281"/>
      <c r="L60" s="194"/>
      <c r="M60" s="194"/>
      <c r="N60" s="184">
        <f t="shared" si="18"/>
        <v>0</v>
      </c>
      <c r="O60" s="184">
        <f t="shared" si="19"/>
        <v>0</v>
      </c>
      <c r="P60" s="184">
        <f t="shared" si="20"/>
        <v>0</v>
      </c>
      <c r="Q60" s="185">
        <f>IF($J$11="fld",IF(K60&gt;0,J60*$G$142,0),SUM(N60:P60))</f>
        <v>0</v>
      </c>
    </row>
    <row r="61" spans="1:17" s="41" customFormat="1" ht="12" customHeight="1">
      <c r="A61" s="35" t="s">
        <v>456</v>
      </c>
      <c r="B61" s="245" t="s">
        <v>612</v>
      </c>
      <c r="C61" s="61"/>
      <c r="D61" s="61"/>
      <c r="E61" s="37"/>
      <c r="F61" s="39" t="str">
        <f>IF($J$11="fld",VLOOKUP(A61,'price sheet'!$A$3:$F$162,4,FALSE),IF($J$11="ret",VLOOKUP(A61,'price sheet'!$A$3:$F$162,6,FALSE),IF($J$11="par",VLOOKUP(A61,'price sheet'!$A$3:$F$162,5,FALSE),VLOOKUP(A61,'price sheet'!$A$3:$F$162,6,FALSE))))</f>
        <v>FREE</v>
      </c>
      <c r="G61" s="138"/>
      <c r="H61" s="461" t="str">
        <f t="shared" si="22"/>
        <v/>
      </c>
      <c r="I61" s="138"/>
      <c r="J61" s="248" t="str">
        <f t="shared" si="21"/>
        <v>FREE</v>
      </c>
      <c r="K61" s="281"/>
      <c r="L61" s="194"/>
      <c r="M61" s="194"/>
      <c r="N61" s="184">
        <f t="shared" si="18"/>
        <v>0</v>
      </c>
      <c r="O61" s="184">
        <f t="shared" si="19"/>
        <v>0</v>
      </c>
      <c r="P61" s="184">
        <f t="shared" si="20"/>
        <v>0</v>
      </c>
      <c r="Q61" s="185">
        <f>IF($J$11="fld",IF(K61&gt;0,J61*$G$142,0),SUM(N61:P61))</f>
        <v>0</v>
      </c>
    </row>
    <row r="62" spans="1:17" s="41" customFormat="1" ht="12" customHeight="1">
      <c r="A62" s="35" t="s">
        <v>80</v>
      </c>
      <c r="B62" s="245" t="s">
        <v>600</v>
      </c>
      <c r="C62" s="61"/>
      <c r="D62" s="61"/>
      <c r="E62" s="37"/>
      <c r="F62" s="39" t="str">
        <f>IF($J$11="fld",VLOOKUP(A62,'price sheet'!$A$3:$F$162,4,FALSE),IF($J$11="ret",VLOOKUP(A62,'price sheet'!$A$3:$F$162,6,FALSE),IF($J$11="par",VLOOKUP(A62,'price sheet'!$A$3:$F$162,5,FALSE),VLOOKUP(A62,'price sheet'!$A$3:$F$162,6,FALSE))))</f>
        <v>FREE</v>
      </c>
      <c r="G62" s="138"/>
      <c r="H62" s="461" t="str">
        <f t="shared" si="22"/>
        <v/>
      </c>
      <c r="I62" s="138"/>
      <c r="J62" s="248" t="str">
        <f t="shared" si="21"/>
        <v>FREE</v>
      </c>
      <c r="K62" s="281"/>
      <c r="L62" s="194"/>
      <c r="M62" s="194"/>
      <c r="N62" s="184">
        <f t="shared" si="18"/>
        <v>0</v>
      </c>
      <c r="O62" s="184">
        <f t="shared" si="19"/>
        <v>0</v>
      </c>
      <c r="P62" s="184">
        <f t="shared" si="20"/>
        <v>0</v>
      </c>
      <c r="Q62" s="185">
        <f>IF($J$11="fld",IF(K62&gt;0,J62*$G$142,0),SUM(N62:P62))</f>
        <v>0</v>
      </c>
    </row>
    <row r="63" spans="1:17" s="41" customFormat="1" ht="12" customHeight="1">
      <c r="A63" s="35" t="s">
        <v>455</v>
      </c>
      <c r="B63" s="245" t="s">
        <v>599</v>
      </c>
      <c r="C63" s="61"/>
      <c r="D63" s="61"/>
      <c r="E63" s="37"/>
      <c r="F63" s="39" t="str">
        <f>IF($J$11="fld",VLOOKUP(A63,'price sheet'!$A$3:$F$162,4,FALSE),IF($J$11="ret",VLOOKUP(A63,'price sheet'!$A$3:$F$162,6,FALSE),IF($J$11="par",VLOOKUP(A63,'price sheet'!$A$3:$F$162,5,FALSE),VLOOKUP(A63,'price sheet'!$A$3:$F$162,6,FALSE))))</f>
        <v>FREE</v>
      </c>
      <c r="G63" s="138"/>
      <c r="H63" s="461" t="str">
        <f t="shared" si="22"/>
        <v/>
      </c>
      <c r="I63" s="138"/>
      <c r="J63" s="248" t="str">
        <f t="shared" si="21"/>
        <v>FREE</v>
      </c>
      <c r="K63" s="281"/>
      <c r="L63" s="194"/>
      <c r="M63" s="194"/>
      <c r="N63" s="184">
        <f t="shared" si="18"/>
        <v>0</v>
      </c>
      <c r="O63" s="184">
        <f t="shared" si="19"/>
        <v>0</v>
      </c>
      <c r="P63" s="184">
        <f t="shared" si="20"/>
        <v>0</v>
      </c>
      <c r="Q63" s="185">
        <f>IF($J$11="fld",IF(K63&gt;0,J63*$G$142,0),SUM(N63:P63))</f>
        <v>0</v>
      </c>
    </row>
    <row r="64" spans="1:17" s="33" customFormat="1" ht="15.75">
      <c r="A64" s="351"/>
      <c r="B64" s="565" t="s">
        <v>87</v>
      </c>
      <c r="C64" s="566"/>
      <c r="D64" s="566"/>
      <c r="E64" s="567"/>
      <c r="F64" s="352"/>
      <c r="G64" s="353"/>
      <c r="H64" s="353"/>
      <c r="I64" s="353"/>
      <c r="J64" s="370">
        <f>SUM(J65:J77)</f>
        <v>0</v>
      </c>
      <c r="K64" s="447"/>
      <c r="L64" s="193"/>
      <c r="M64" s="193"/>
      <c r="N64" s="184">
        <f t="shared" ref="N64:N77" si="23">IF($J$11="ret",IF(G64&gt;9,J64*15%,0),0)</f>
        <v>0</v>
      </c>
      <c r="O64" s="184">
        <f t="shared" ref="O64:O77" si="24">IF($J$11="ret",IF(G64&gt;49,J64*10%,0),0)</f>
        <v>0</v>
      </c>
      <c r="P64" s="184">
        <f t="shared" ref="P64:P77" si="25">IF($J$11="ret",IF(G64&gt;99,J64*5%,0),0)</f>
        <v>0</v>
      </c>
      <c r="Q64" s="185">
        <f>IF($J$11="fld",IF(K64&gt;0,J64*$G$142,0),SUM(N64:P64))</f>
        <v>0</v>
      </c>
    </row>
    <row r="65" spans="1:17" s="19" customFormat="1" ht="12" customHeight="1">
      <c r="A65" s="35" t="s">
        <v>458</v>
      </c>
      <c r="B65" s="249" t="s">
        <v>592</v>
      </c>
      <c r="C65" s="60"/>
      <c r="D65" s="61"/>
      <c r="E65" s="20"/>
      <c r="F65" s="39" t="str">
        <f>IF($J$11="fld",VLOOKUP(A65,'price sheet'!$A$3:$F$162,4,FALSE),IF($J$11="ret",VLOOKUP(A65,'price sheet'!$A$3:$F$162,6,FALSE),IF($J$11="par",VLOOKUP(A65,'price sheet'!$A$3:$F$162,5,FALSE),VLOOKUP(A65,'price sheet'!$A$3:$F$162,6,FALSE))))</f>
        <v>FREE</v>
      </c>
      <c r="G65" s="138"/>
      <c r="H65" s="461" t="str">
        <f>IF(K65="X","Back Ordered","")</f>
        <v/>
      </c>
      <c r="I65" s="138"/>
      <c r="J65" s="248" t="str">
        <f t="shared" ref="J65:J72" si="26">IF(K65="x",0,IF(F65="n/a","N/A",IF(F65="free","FREE",IF(I65=0,SUM(G65*F65),SUM(I65*F65)))))</f>
        <v>FREE</v>
      </c>
      <c r="K65" s="450"/>
      <c r="L65" s="184"/>
      <c r="M65" s="184"/>
      <c r="N65" s="184">
        <f t="shared" si="23"/>
        <v>0</v>
      </c>
      <c r="O65" s="184">
        <f t="shared" si="24"/>
        <v>0</v>
      </c>
      <c r="P65" s="184">
        <f t="shared" si="25"/>
        <v>0</v>
      </c>
      <c r="Q65" s="185">
        <f>IF($J$11="fld",IF(K65&gt;0,J65*$G$142,0),SUM(N65:P65))</f>
        <v>0</v>
      </c>
    </row>
    <row r="66" spans="1:17" s="19" customFormat="1" ht="12" customHeight="1">
      <c r="A66" s="35" t="s">
        <v>459</v>
      </c>
      <c r="B66" s="249" t="s">
        <v>595</v>
      </c>
      <c r="C66" s="60"/>
      <c r="D66" s="61"/>
      <c r="E66" s="20"/>
      <c r="F66" s="39" t="str">
        <f>IF($J$11="fld",VLOOKUP(A66,'price sheet'!$A$3:$F$162,4,FALSE),IF($J$11="ret",VLOOKUP(A66,'price sheet'!$A$3:$F$162,6,FALSE),IF($J$11="par",VLOOKUP(A66,'price sheet'!$A$3:$F$162,5,FALSE),VLOOKUP(A66,'price sheet'!$A$3:$F$162,6,FALSE))))</f>
        <v>FREE</v>
      </c>
      <c r="G66" s="138"/>
      <c r="H66" s="461" t="str">
        <f t="shared" ref="H66:H72" si="27">IF(K66="X","Back Ordered","")</f>
        <v/>
      </c>
      <c r="I66" s="138"/>
      <c r="J66" s="248" t="str">
        <f t="shared" si="26"/>
        <v>FREE</v>
      </c>
      <c r="K66" s="281"/>
      <c r="L66" s="194"/>
      <c r="M66" s="194"/>
      <c r="N66" s="184">
        <f t="shared" si="23"/>
        <v>0</v>
      </c>
      <c r="O66" s="184">
        <f t="shared" si="24"/>
        <v>0</v>
      </c>
      <c r="P66" s="184">
        <f t="shared" si="25"/>
        <v>0</v>
      </c>
      <c r="Q66" s="185">
        <f>IF($J$11="fld",IF(K66&gt;0,J66*$G$142,0),SUM(N66:P66))</f>
        <v>0</v>
      </c>
    </row>
    <row r="67" spans="1:17" s="19" customFormat="1" ht="12" customHeight="1">
      <c r="A67" s="35" t="s">
        <v>460</v>
      </c>
      <c r="B67" s="249" t="s">
        <v>593</v>
      </c>
      <c r="C67" s="60"/>
      <c r="D67" s="61"/>
      <c r="E67" s="20"/>
      <c r="F67" s="39" t="str">
        <f>IF($J$11="fld",VLOOKUP(A67,'price sheet'!$A$3:$F$162,4,FALSE),IF($J$11="ret",VLOOKUP(A67,'price sheet'!$A$3:$F$162,6,FALSE),IF($J$11="par",VLOOKUP(A67,'price sheet'!$A$3:$F$162,5,FALSE),VLOOKUP(A67,'price sheet'!$A$3:$F$162,6,FALSE))))</f>
        <v>FREE</v>
      </c>
      <c r="G67" s="138"/>
      <c r="H67" s="461" t="str">
        <f t="shared" si="27"/>
        <v/>
      </c>
      <c r="I67" s="138"/>
      <c r="J67" s="248" t="str">
        <f t="shared" si="26"/>
        <v>FREE</v>
      </c>
      <c r="K67" s="281"/>
      <c r="L67" s="194"/>
      <c r="M67" s="194"/>
      <c r="N67" s="184">
        <f t="shared" si="23"/>
        <v>0</v>
      </c>
      <c r="O67" s="184">
        <f t="shared" si="24"/>
        <v>0</v>
      </c>
      <c r="P67" s="184">
        <f t="shared" si="25"/>
        <v>0</v>
      </c>
      <c r="Q67" s="185">
        <f>IF($J$11="fld",IF(K67&gt;0,J67*$G$142,0),SUM(N67:P67))</f>
        <v>0</v>
      </c>
    </row>
    <row r="68" spans="1:17" s="41" customFormat="1" ht="12" customHeight="1">
      <c r="A68" s="35" t="s">
        <v>461</v>
      </c>
      <c r="B68" s="249" t="s">
        <v>594</v>
      </c>
      <c r="C68" s="60"/>
      <c r="D68" s="61"/>
      <c r="E68" s="38"/>
      <c r="F68" s="39" t="str">
        <f>IF($J$11="fld",VLOOKUP(A68,'price sheet'!$A$3:$F$162,4,FALSE),IF($J$11="ret",VLOOKUP(A68,'price sheet'!$A$3:$F$162,6,FALSE),IF($J$11="par",VLOOKUP(A68,'price sheet'!$A$3:$F$162,5,FALSE),VLOOKUP(A68,'price sheet'!$A$3:$F$162,6,FALSE))))</f>
        <v>FREE</v>
      </c>
      <c r="G68" s="138"/>
      <c r="H68" s="461" t="str">
        <f t="shared" si="27"/>
        <v/>
      </c>
      <c r="I68" s="138"/>
      <c r="J68" s="248" t="str">
        <f t="shared" si="26"/>
        <v>FREE</v>
      </c>
      <c r="K68" s="281"/>
      <c r="L68" s="194"/>
      <c r="M68" s="194"/>
      <c r="N68" s="184">
        <f t="shared" si="23"/>
        <v>0</v>
      </c>
      <c r="O68" s="184">
        <f t="shared" si="24"/>
        <v>0</v>
      </c>
      <c r="P68" s="184">
        <f t="shared" si="25"/>
        <v>0</v>
      </c>
      <c r="Q68" s="185">
        <f>IF($J$11="fld",IF(K68&gt;0,J68*$G$142,0),SUM(N68:P68))</f>
        <v>0</v>
      </c>
    </row>
    <row r="69" spans="1:17" s="41" customFormat="1" ht="12" customHeight="1">
      <c r="A69" s="35" t="s">
        <v>462</v>
      </c>
      <c r="B69" s="249" t="s">
        <v>596</v>
      </c>
      <c r="C69" s="60"/>
      <c r="D69" s="61"/>
      <c r="E69" s="38"/>
      <c r="F69" s="39" t="str">
        <f>IF($J$11="fld",VLOOKUP(A69,'price sheet'!$A$3:$F$162,4,FALSE),IF($J$11="ret",VLOOKUP(A69,'price sheet'!$A$3:$F$162,6,FALSE),IF($J$11="par",VLOOKUP(A69,'price sheet'!$A$3:$F$162,5,FALSE),VLOOKUP(A69,'price sheet'!$A$3:$F$162,6,FALSE))))</f>
        <v>FREE</v>
      </c>
      <c r="G69" s="138"/>
      <c r="H69" s="461" t="str">
        <f t="shared" si="27"/>
        <v/>
      </c>
      <c r="I69" s="138"/>
      <c r="J69" s="248" t="str">
        <f t="shared" si="26"/>
        <v>FREE</v>
      </c>
      <c r="K69" s="281"/>
      <c r="L69" s="194"/>
      <c r="M69" s="194"/>
      <c r="N69" s="184">
        <f t="shared" si="23"/>
        <v>0</v>
      </c>
      <c r="O69" s="184">
        <f t="shared" si="24"/>
        <v>0</v>
      </c>
      <c r="P69" s="184">
        <f t="shared" si="25"/>
        <v>0</v>
      </c>
      <c r="Q69" s="185">
        <f>IF($J$11="fld",IF(K69&gt;0,J69*$G$142,0),SUM(N69:P69))</f>
        <v>0</v>
      </c>
    </row>
    <row r="70" spans="1:17" s="41" customFormat="1" ht="12" customHeight="1">
      <c r="A70" s="35" t="s">
        <v>463</v>
      </c>
      <c r="B70" s="249" t="s">
        <v>598</v>
      </c>
      <c r="C70" s="245"/>
      <c r="D70" s="280"/>
      <c r="E70" s="279"/>
      <c r="F70" s="39" t="str">
        <f>IF($J$11="fld",VLOOKUP(A70,'price sheet'!$A$3:$F$162,4,FALSE),IF($J$11="ret",VLOOKUP(A70,'price sheet'!$A$3:$F$162,6,FALSE),IF($J$11="par",VLOOKUP(A70,'price sheet'!$A$3:$F$162,5,FALSE),VLOOKUP(A70,'price sheet'!$A$3:$F$162,6,FALSE))))</f>
        <v>FREE</v>
      </c>
      <c r="G70" s="138"/>
      <c r="H70" s="461" t="str">
        <f t="shared" si="27"/>
        <v/>
      </c>
      <c r="I70" s="138"/>
      <c r="J70" s="248" t="str">
        <f t="shared" si="26"/>
        <v>FREE</v>
      </c>
      <c r="K70" s="281"/>
      <c r="L70" s="194"/>
      <c r="M70" s="194"/>
      <c r="N70" s="184">
        <f t="shared" si="23"/>
        <v>0</v>
      </c>
      <c r="O70" s="184">
        <f t="shared" si="24"/>
        <v>0</v>
      </c>
      <c r="P70" s="184">
        <f t="shared" si="25"/>
        <v>0</v>
      </c>
      <c r="Q70" s="185">
        <f>IF($J$11="fld",IF(K70&gt;0,J70*$G$142,0),SUM(N70:P70))</f>
        <v>0</v>
      </c>
    </row>
    <row r="71" spans="1:17" s="41" customFormat="1" ht="12" customHeight="1">
      <c r="A71" s="35" t="s">
        <v>465</v>
      </c>
      <c r="B71" s="249" t="s">
        <v>591</v>
      </c>
      <c r="C71" s="60"/>
      <c r="D71" s="61"/>
      <c r="E71" s="38"/>
      <c r="F71" s="39" t="str">
        <f>IF($J$11="fld",VLOOKUP(A71,'price sheet'!$A$3:$F$162,4,FALSE),IF($J$11="ret",VLOOKUP(A71,'price sheet'!$A$3:$F$162,6,FALSE),IF($J$11="par",VLOOKUP(A71,'price sheet'!$A$3:$F$162,5,FALSE),VLOOKUP(A71,'price sheet'!$A$3:$F$162,6,FALSE))))</f>
        <v>FREE</v>
      </c>
      <c r="G71" s="138"/>
      <c r="H71" s="461" t="str">
        <f t="shared" si="27"/>
        <v/>
      </c>
      <c r="I71" s="138"/>
      <c r="J71" s="248" t="str">
        <f t="shared" si="26"/>
        <v>FREE</v>
      </c>
      <c r="K71" s="281"/>
      <c r="L71" s="194"/>
      <c r="M71" s="194"/>
      <c r="N71" s="184">
        <f t="shared" si="23"/>
        <v>0</v>
      </c>
      <c r="O71" s="184">
        <f t="shared" si="24"/>
        <v>0</v>
      </c>
      <c r="P71" s="184">
        <f t="shared" si="25"/>
        <v>0</v>
      </c>
      <c r="Q71" s="185">
        <f>IF($J$11="fld",IF(K71&gt;0,J71*$G$142,0),SUM(N71:P71))</f>
        <v>0</v>
      </c>
    </row>
    <row r="72" spans="1:17" s="41" customFormat="1" ht="12" customHeight="1">
      <c r="A72" s="35" t="s">
        <v>464</v>
      </c>
      <c r="B72" s="249" t="s">
        <v>597</v>
      </c>
      <c r="C72" s="60"/>
      <c r="D72" s="61"/>
      <c r="E72" s="279"/>
      <c r="F72" s="39" t="str">
        <f>IF($J$11="fld",VLOOKUP(A72,'price sheet'!$A$3:$F$162,4,FALSE),IF($J$11="ret",VLOOKUP(A72,'price sheet'!$A$3:$F$162,6,FALSE),IF($J$11="par",VLOOKUP(A72,'price sheet'!$A$3:$F$162,5,FALSE),VLOOKUP(A72,'price sheet'!$A$3:$F$162,6,FALSE))))</f>
        <v>FREE</v>
      </c>
      <c r="G72" s="138"/>
      <c r="H72" s="461" t="str">
        <f t="shared" si="27"/>
        <v/>
      </c>
      <c r="I72" s="138"/>
      <c r="J72" s="248" t="str">
        <f t="shared" si="26"/>
        <v>FREE</v>
      </c>
      <c r="K72" s="281"/>
      <c r="L72" s="194"/>
      <c r="M72" s="194"/>
      <c r="N72" s="184">
        <f t="shared" si="23"/>
        <v>0</v>
      </c>
      <c r="O72" s="184">
        <f t="shared" si="24"/>
        <v>0</v>
      </c>
      <c r="P72" s="184">
        <f t="shared" si="25"/>
        <v>0</v>
      </c>
      <c r="Q72" s="185">
        <f>IF($J$11="fld",IF(K72&gt;0,J72*$G$142,0),SUM(N72:P72))</f>
        <v>0</v>
      </c>
    </row>
    <row r="73" spans="1:17" s="41" customFormat="1" ht="12" customHeight="1">
      <c r="A73" s="244" t="s">
        <v>550</v>
      </c>
      <c r="B73" s="245" t="s">
        <v>551</v>
      </c>
      <c r="C73" s="61"/>
      <c r="D73" s="61"/>
      <c r="E73" s="38"/>
      <c r="F73" s="39">
        <f>IF($J$11="fld",VLOOKUP(A73,'price sheet'!$A$3:$F$162,4,FALSE),IF($J$11="ret",VLOOKUP(A73,'price sheet'!$A$3:$F$162,6,FALSE),IF($J$11="par",VLOOKUP(A73,'price sheet'!$A$3:$F$162,5,FALSE),VLOOKUP(A73,'price sheet'!$A$3:$F$162,6,FALSE))))</f>
        <v>2.64</v>
      </c>
      <c r="G73" s="138"/>
      <c r="H73" s="461" t="str">
        <f>IF(K73="X","Back Ordered","")</f>
        <v/>
      </c>
      <c r="I73" s="138"/>
      <c r="J73" s="248">
        <f>IF(K73="x",0,IF(F73="n/a","N/A",IF(F73="free","FREE",IF(I73=0,SUM(G73*F73),SUM(I73*F73)))))</f>
        <v>0</v>
      </c>
      <c r="K73" s="281"/>
      <c r="L73" s="194"/>
      <c r="M73" s="194"/>
      <c r="N73" s="184">
        <f t="shared" si="23"/>
        <v>0</v>
      </c>
      <c r="O73" s="184">
        <f t="shared" si="24"/>
        <v>0</v>
      </c>
      <c r="P73" s="184">
        <f t="shared" si="25"/>
        <v>0</v>
      </c>
      <c r="Q73" s="185">
        <f>IF($J$11="fld",IF(K73&gt;0,J73*$G$142,0),SUM(N73:P73))</f>
        <v>0</v>
      </c>
    </row>
    <row r="74" spans="1:17" s="41" customFormat="1" ht="12" customHeight="1">
      <c r="A74" s="244" t="s">
        <v>589</v>
      </c>
      <c r="B74" s="245" t="s">
        <v>590</v>
      </c>
      <c r="C74" s="61"/>
      <c r="D74" s="61"/>
      <c r="E74" s="38"/>
      <c r="F74" s="39">
        <f>IF($J$11="fld",VLOOKUP(A74,'price sheet'!$A$3:$F$162,4,FALSE),IF($J$11="ret",VLOOKUP(A74,'price sheet'!$A$3:$F$162,6,FALSE),IF($J$11="par",VLOOKUP(A74,'price sheet'!$A$3:$F$162,5,FALSE),VLOOKUP(A74,'price sheet'!$A$3:$F$162,6,FALSE))))</f>
        <v>2.64</v>
      </c>
      <c r="G74" s="138"/>
      <c r="H74" s="461"/>
      <c r="I74" s="138"/>
      <c r="J74" s="248">
        <f>IF(K74="x",0,IF(F74="n/a","N/A",IF(F74="free","FREE",IF(I74=0,SUM(G74*F74),SUM(I74*F74)))))</f>
        <v>0</v>
      </c>
      <c r="K74" s="281"/>
      <c r="L74" s="194"/>
      <c r="M74" s="194"/>
      <c r="N74" s="184">
        <f t="shared" si="23"/>
        <v>0</v>
      </c>
      <c r="O74" s="184">
        <f t="shared" si="24"/>
        <v>0</v>
      </c>
      <c r="P74" s="184">
        <f t="shared" si="25"/>
        <v>0</v>
      </c>
      <c r="Q74" s="185">
        <f>IF($J$11="fld",IF(K74&gt;0,J74*$G$142,0),SUM(N74:P74))</f>
        <v>0</v>
      </c>
    </row>
    <row r="75" spans="1:17" s="41" customFormat="1" ht="12" customHeight="1">
      <c r="A75" s="244" t="s">
        <v>621</v>
      </c>
      <c r="B75" s="245" t="s">
        <v>623</v>
      </c>
      <c r="C75" s="61"/>
      <c r="D75" s="61"/>
      <c r="E75" s="38"/>
      <c r="F75" s="39">
        <f>IF($J$11="fld",VLOOKUP(A75,'price sheet'!$A$3:$F$162,4,FALSE),IF($J$11="ret",VLOOKUP(A75,'price sheet'!$A$3:$F$162,6,FALSE),IF($J$11="par",VLOOKUP(A75,'price sheet'!$A$3:$F$162,5,FALSE),VLOOKUP(A75,'price sheet'!$A$3:$F$162,6,FALSE))))</f>
        <v>2.64</v>
      </c>
      <c r="G75" s="138"/>
      <c r="H75" s="461" t="str">
        <f>IF(K75="X","Back Ordered","")</f>
        <v/>
      </c>
      <c r="I75" s="138"/>
      <c r="J75" s="248">
        <f>IF(K75="x",0,IF(F75="n/a","N/A",IF(F75="free","FREE",IF(I75=0,SUM(G75*F75),SUM(I75*F75)))))</f>
        <v>0</v>
      </c>
      <c r="K75" s="281"/>
      <c r="L75" s="194"/>
      <c r="M75" s="194"/>
      <c r="N75" s="184">
        <f t="shared" si="23"/>
        <v>0</v>
      </c>
      <c r="O75" s="184">
        <f t="shared" si="24"/>
        <v>0</v>
      </c>
      <c r="P75" s="184">
        <f t="shared" si="25"/>
        <v>0</v>
      </c>
      <c r="Q75" s="185">
        <f>IF($J$11="fld",IF(K75&gt;0,J75*$G$142,0),SUM(N75:P75))</f>
        <v>0</v>
      </c>
    </row>
    <row r="76" spans="1:17" s="41" customFormat="1" ht="12" customHeight="1">
      <c r="A76" s="244" t="s">
        <v>622</v>
      </c>
      <c r="B76" s="245" t="s">
        <v>624</v>
      </c>
      <c r="C76" s="61"/>
      <c r="D76" s="61"/>
      <c r="E76" s="38"/>
      <c r="F76" s="39">
        <f>IF($J$11="fld",VLOOKUP(A76,'price sheet'!$A$3:$F$162,4,FALSE),IF($J$11="ret",VLOOKUP(A76,'price sheet'!$A$3:$F$162,6,FALSE),IF($J$11="par",VLOOKUP(A76,'price sheet'!$A$3:$F$162,5,FALSE),VLOOKUP(A76,'price sheet'!$A$3:$F$162,6,FALSE))))</f>
        <v>4.1999999999999993</v>
      </c>
      <c r="G76" s="138"/>
      <c r="H76" s="461"/>
      <c r="I76" s="138"/>
      <c r="J76" s="248">
        <f>IF(K76="x",0,IF(F76="n/a","N/A",IF(F76="free","FREE",IF(I76=0,SUM(G76*F76),SUM(I76*F76)))))</f>
        <v>0</v>
      </c>
      <c r="K76" s="281"/>
      <c r="L76" s="194"/>
      <c r="M76" s="194"/>
      <c r="N76" s="184">
        <f t="shared" si="23"/>
        <v>0</v>
      </c>
      <c r="O76" s="184">
        <f t="shared" si="24"/>
        <v>0</v>
      </c>
      <c r="P76" s="184">
        <f t="shared" si="25"/>
        <v>0</v>
      </c>
      <c r="Q76" s="185">
        <f>IF($J$11="fld",IF(K76&gt;0,J76*$G$142,0),SUM(N76:P76))</f>
        <v>0</v>
      </c>
    </row>
    <row r="77" spans="1:17" s="41" customFormat="1" ht="12" customHeight="1">
      <c r="A77" s="244" t="s">
        <v>647</v>
      </c>
      <c r="B77" s="245" t="s">
        <v>648</v>
      </c>
      <c r="C77" s="61"/>
      <c r="D77" s="61"/>
      <c r="E77" s="38"/>
      <c r="F77" s="39">
        <f>IF($J$11="fld",VLOOKUP(A77,'price sheet'!$A$3:$F$162,4,FALSE),IF($J$11="ret",VLOOKUP(A77,'price sheet'!$A$3:$F$162,6,FALSE),IF($J$11="par",VLOOKUP(A77,'price sheet'!$A$3:$F$162,5,FALSE),VLOOKUP(A77,'price sheet'!$A$3:$F$162,6,FALSE))))</f>
        <v>4.1999999999999993</v>
      </c>
      <c r="G77" s="138"/>
      <c r="H77" s="461"/>
      <c r="I77" s="138"/>
      <c r="J77" s="248">
        <f>IF(K77="x",0,IF(F77="n/a","N/A",IF(F77="free","FREE",IF(I77=0,SUM(G77*F77),SUM(I77*F77)))))</f>
        <v>0</v>
      </c>
      <c r="K77" s="281"/>
      <c r="L77" s="194"/>
      <c r="M77" s="194"/>
      <c r="N77" s="184">
        <f t="shared" si="23"/>
        <v>0</v>
      </c>
      <c r="O77" s="184">
        <f t="shared" si="24"/>
        <v>0</v>
      </c>
      <c r="P77" s="184">
        <f t="shared" si="25"/>
        <v>0</v>
      </c>
      <c r="Q77" s="185">
        <f>IF($J$11="fld",IF(K77&gt;0,J77*$G$142,0),SUM(N77:P77))</f>
        <v>0</v>
      </c>
    </row>
    <row r="78" spans="1:17" s="33" customFormat="1" ht="15.75">
      <c r="A78" s="354"/>
      <c r="B78" s="571" t="s">
        <v>479</v>
      </c>
      <c r="C78" s="572"/>
      <c r="D78" s="572"/>
      <c r="E78" s="573"/>
      <c r="F78" s="355"/>
      <c r="G78" s="356"/>
      <c r="H78" s="356"/>
      <c r="I78" s="356"/>
      <c r="J78" s="371">
        <f>SUM(J79:J97)</f>
        <v>0</v>
      </c>
      <c r="K78" s="447"/>
      <c r="L78" s="193"/>
      <c r="M78" s="193"/>
      <c r="N78" s="184"/>
      <c r="O78" s="184"/>
      <c r="P78" s="184"/>
      <c r="Q78" s="185"/>
    </row>
    <row r="79" spans="1:17" s="41" customFormat="1" ht="12" hidden="1" customHeight="1">
      <c r="A79" s="35" t="s">
        <v>107</v>
      </c>
      <c r="B79" s="58" t="s">
        <v>126</v>
      </c>
      <c r="C79" s="60"/>
      <c r="D79" s="61"/>
      <c r="E79" s="38"/>
      <c r="F79" s="39">
        <f>IF($J$11="fld",VLOOKUP(A79,'price sheet'!$A$3:$F$162,4,FALSE),IF($J$11="ret",VLOOKUP(A79,'price sheet'!$A$3:$F$162,6,FALSE),IF($J$11="par",VLOOKUP(A79,'price sheet'!$A$3:$F$162,5,FALSE),VLOOKUP(A79,'price sheet'!$A$3:$F$162,6,FALSE))))</f>
        <v>5.4</v>
      </c>
      <c r="G79" s="138"/>
      <c r="H79" s="461" t="str">
        <f>IF(K79="X","Back Ordered","")</f>
        <v/>
      </c>
      <c r="I79" s="138"/>
      <c r="J79" s="248">
        <f t="shared" ref="J79:J97" si="28">IF(K79="x",0,IF(F79="n/a","N/A",IF(F79="free","FREE",IF(I79=0,SUM(G79*F79),SUM(I79*F79)))))</f>
        <v>0</v>
      </c>
      <c r="K79" s="281"/>
      <c r="L79" s="194"/>
      <c r="M79" s="194"/>
      <c r="N79" s="184">
        <f t="shared" ref="N79:N97" si="29">IF($J$11="ret",IF(G79&gt;9,J79*15%,0),0)</f>
        <v>0</v>
      </c>
      <c r="O79" s="184">
        <f t="shared" ref="O79:O97" si="30">IF($J$11="ret",IF(G79&gt;49,J79*10%,0),0)</f>
        <v>0</v>
      </c>
      <c r="P79" s="184">
        <f t="shared" ref="P79:P97" si="31">IF($J$11="ret",IF(G79&gt;99,J79*5%,0),0)</f>
        <v>0</v>
      </c>
      <c r="Q79" s="185">
        <f>IF($J$11="fld",IF(K79&gt;0,J79*$G$142,0),SUM(N79:P79))</f>
        <v>0</v>
      </c>
    </row>
    <row r="80" spans="1:17" s="41" customFormat="1" ht="12" customHeight="1">
      <c r="A80" s="244" t="s">
        <v>517</v>
      </c>
      <c r="B80" s="249" t="s">
        <v>582</v>
      </c>
      <c r="C80" s="60"/>
      <c r="D80" s="61"/>
      <c r="E80" s="38"/>
      <c r="F80" s="39" t="str">
        <f>IF($J$11="fld",VLOOKUP(A80,'price sheet'!$A$3:$F$162,4,FALSE),IF($J$11="ret",VLOOKUP(A80,'price sheet'!$A$3:$F$162,6,FALSE),IF($J$11="par",VLOOKUP(A80,'price sheet'!$A$3:$F$162,5,FALSE),VLOOKUP(A80,'price sheet'!$A$3:$F$162,6,FALSE))))</f>
        <v>FREE</v>
      </c>
      <c r="G80" s="138"/>
      <c r="H80" s="461" t="str">
        <f>IF(K80="X","Back Ordered","")</f>
        <v/>
      </c>
      <c r="I80" s="138"/>
      <c r="J80" s="248" t="str">
        <f t="shared" si="28"/>
        <v>FREE</v>
      </c>
      <c r="K80" s="281"/>
      <c r="L80" s="194"/>
      <c r="M80" s="194"/>
      <c r="N80" s="184">
        <f t="shared" si="29"/>
        <v>0</v>
      </c>
      <c r="O80" s="184">
        <f t="shared" si="30"/>
        <v>0</v>
      </c>
      <c r="P80" s="184">
        <f t="shared" si="31"/>
        <v>0</v>
      </c>
      <c r="Q80" s="185">
        <f>IF($J$11="fld",IF(K80&gt;0,J80*$G$142,0),SUM(N80:P80))</f>
        <v>0</v>
      </c>
    </row>
    <row r="81" spans="1:17" s="507" customFormat="1" ht="12" hidden="1" customHeight="1">
      <c r="A81" s="495" t="s">
        <v>108</v>
      </c>
      <c r="B81" s="509" t="s">
        <v>127</v>
      </c>
      <c r="C81" s="510"/>
      <c r="D81" s="497"/>
      <c r="E81" s="511"/>
      <c r="F81" s="499">
        <f>IF($J$11="fld",VLOOKUP(A81,'price sheet'!$A$3:$F$162,4,FALSE),IF($J$11="ret",VLOOKUP(A81,'price sheet'!$A$3:$F$162,6,FALSE),IF($J$11="par",VLOOKUP(A81,'price sheet'!$A$3:$F$162,5,FALSE),VLOOKUP(A81,'price sheet'!$A$3:$F$162,6,FALSE))))</f>
        <v>8.3999999999999986</v>
      </c>
      <c r="G81" s="500"/>
      <c r="H81" s="501" t="str">
        <f>IF(K81="X","Back Ordered","")</f>
        <v/>
      </c>
      <c r="I81" s="500"/>
      <c r="J81" s="502">
        <f t="shared" si="28"/>
        <v>0</v>
      </c>
      <c r="K81" s="503"/>
      <c r="L81" s="504"/>
      <c r="M81" s="504"/>
      <c r="N81" s="505">
        <f t="shared" si="29"/>
        <v>0</v>
      </c>
      <c r="O81" s="505">
        <f t="shared" si="30"/>
        <v>0</v>
      </c>
      <c r="P81" s="505">
        <f t="shared" si="31"/>
        <v>0</v>
      </c>
      <c r="Q81" s="506">
        <f>IF($J$11="fld",IF(K81&gt;0,J81*$G$142,0),SUM(N81:P81))</f>
        <v>0</v>
      </c>
    </row>
    <row r="82" spans="1:17" s="507" customFormat="1" ht="12" hidden="1" customHeight="1">
      <c r="A82" s="495" t="s">
        <v>124</v>
      </c>
      <c r="B82" s="509" t="s">
        <v>194</v>
      </c>
      <c r="C82" s="510"/>
      <c r="D82" s="497"/>
      <c r="E82" s="513"/>
      <c r="F82" s="499">
        <f>IF($J$11="fld",VLOOKUP(A82,'price sheet'!$A$3:$F$162,4,FALSE),IF($J$11="ret",VLOOKUP(A82,'price sheet'!$A$3:$F$162,6,FALSE),IF($J$11="par",VLOOKUP(A82,'price sheet'!$A$3:$F$162,5,FALSE),VLOOKUP(A82,'price sheet'!$A$3:$F$162,6,FALSE))))</f>
        <v>3.78</v>
      </c>
      <c r="G82" s="500"/>
      <c r="H82" s="501" t="str">
        <f>IF(K82="X","Back Ordered","")</f>
        <v/>
      </c>
      <c r="I82" s="500"/>
      <c r="J82" s="502">
        <f t="shared" si="28"/>
        <v>0</v>
      </c>
      <c r="K82" s="503"/>
      <c r="L82" s="504"/>
      <c r="M82" s="504"/>
      <c r="N82" s="505">
        <f t="shared" si="29"/>
        <v>0</v>
      </c>
      <c r="O82" s="505">
        <f t="shared" si="30"/>
        <v>0</v>
      </c>
      <c r="P82" s="505">
        <f t="shared" si="31"/>
        <v>0</v>
      </c>
      <c r="Q82" s="506">
        <f>IF($J$11="fld",IF(K82&gt;0,J82*$G$142,0),SUM(N82:P82))</f>
        <v>0</v>
      </c>
    </row>
    <row r="83" spans="1:17" s="41" customFormat="1" ht="12" customHeight="1">
      <c r="A83" s="244" t="s">
        <v>114</v>
      </c>
      <c r="B83" s="249" t="s">
        <v>576</v>
      </c>
      <c r="C83" s="60"/>
      <c r="D83" s="61"/>
      <c r="E83" s="20"/>
      <c r="F83" s="39" t="str">
        <f>IF($J$11="fld",VLOOKUP(A83,'price sheet'!$A$3:$F$162,4,FALSE),IF($J$11="ret",VLOOKUP(A83,'price sheet'!$A$3:$F$162,6,FALSE),IF($J$11="par",VLOOKUP(A83,'price sheet'!$A$3:$F$162,5,FALSE),VLOOKUP(A83,'price sheet'!$A$3:$F$162,6,FALSE))))</f>
        <v>FREE</v>
      </c>
      <c r="G83" s="138"/>
      <c r="H83" s="461"/>
      <c r="I83" s="138"/>
      <c r="J83" s="248" t="str">
        <f t="shared" si="28"/>
        <v>FREE</v>
      </c>
      <c r="K83" s="451"/>
      <c r="L83" s="194"/>
      <c r="M83" s="194"/>
      <c r="N83" s="184">
        <f t="shared" si="29"/>
        <v>0</v>
      </c>
      <c r="O83" s="184">
        <f t="shared" si="30"/>
        <v>0</v>
      </c>
      <c r="P83" s="184">
        <f t="shared" si="31"/>
        <v>0</v>
      </c>
      <c r="Q83" s="185">
        <f>IF($J$11="fld",IF(K83&gt;0,J83*$G$142,0),SUM(N83:P83))</f>
        <v>0</v>
      </c>
    </row>
    <row r="84" spans="1:17" s="41" customFormat="1" ht="12" customHeight="1">
      <c r="A84" s="35" t="s">
        <v>235</v>
      </c>
      <c r="B84" s="58" t="s">
        <v>262</v>
      </c>
      <c r="C84" s="60"/>
      <c r="D84" s="61"/>
      <c r="E84" s="38"/>
      <c r="F84" s="39">
        <f>IF($J$11="fld",VLOOKUP(A84,'price sheet'!$A$3:$F$162,4,FALSE),IF($J$11="ret",VLOOKUP(A84,'price sheet'!$A$3:$F$162,6,FALSE),IF($J$11="par",VLOOKUP(A84,'price sheet'!$A$3:$F$162,5,FALSE),VLOOKUP(A84,'price sheet'!$A$3:$F$162,6,FALSE))))</f>
        <v>7.6199999999999992</v>
      </c>
      <c r="G84" s="138"/>
      <c r="H84" s="461" t="str">
        <f>IF(K84="X","Back Ordered","")</f>
        <v/>
      </c>
      <c r="I84" s="138"/>
      <c r="J84" s="248">
        <f t="shared" si="28"/>
        <v>0</v>
      </c>
      <c r="K84" s="281"/>
      <c r="L84" s="194"/>
      <c r="M84" s="194"/>
      <c r="N84" s="184">
        <f t="shared" si="29"/>
        <v>0</v>
      </c>
      <c r="O84" s="184">
        <f t="shared" si="30"/>
        <v>0</v>
      </c>
      <c r="P84" s="184">
        <f t="shared" si="31"/>
        <v>0</v>
      </c>
      <c r="Q84" s="185">
        <f>IF($J$11="fld",IF(K84&gt;0,J84*$G$142,0),SUM(N84:P84))</f>
        <v>0</v>
      </c>
    </row>
    <row r="85" spans="1:17" s="41" customFormat="1" ht="12" customHeight="1">
      <c r="A85" s="35" t="s">
        <v>111</v>
      </c>
      <c r="B85" s="58" t="s">
        <v>128</v>
      </c>
      <c r="C85" s="60"/>
      <c r="D85" s="61"/>
      <c r="E85" s="38"/>
      <c r="F85" s="39">
        <f>IF($J$11="fld",VLOOKUP(A85,'price sheet'!$A$3:$F$162,4,FALSE),IF($J$11="ret",VLOOKUP(A85,'price sheet'!$A$3:$F$162,6,FALSE),IF($J$11="par",VLOOKUP(A85,'price sheet'!$A$3:$F$162,5,FALSE),VLOOKUP(A85,'price sheet'!$A$3:$F$162,6,FALSE))))</f>
        <v>3.48</v>
      </c>
      <c r="G85" s="138"/>
      <c r="H85" s="461"/>
      <c r="I85" s="138">
        <v>0</v>
      </c>
      <c r="J85" s="248">
        <f t="shared" si="28"/>
        <v>0</v>
      </c>
      <c r="K85" s="281"/>
      <c r="L85" s="194"/>
      <c r="M85" s="194"/>
      <c r="N85" s="184">
        <f t="shared" si="29"/>
        <v>0</v>
      </c>
      <c r="O85" s="184">
        <f t="shared" si="30"/>
        <v>0</v>
      </c>
      <c r="P85" s="184">
        <f t="shared" si="31"/>
        <v>0</v>
      </c>
      <c r="Q85" s="185">
        <f>IF($J$11="fld",IF(K85&gt;0,J85*$G$142,0),SUM(N85:P85))</f>
        <v>0</v>
      </c>
    </row>
    <row r="86" spans="1:17" s="41" customFormat="1" ht="12" customHeight="1">
      <c r="A86" s="244" t="s">
        <v>577</v>
      </c>
      <c r="B86" s="249" t="s">
        <v>575</v>
      </c>
      <c r="C86" s="60"/>
      <c r="D86" s="61"/>
      <c r="E86" s="38"/>
      <c r="F86" s="39" t="str">
        <f>IF($J$11="fld",VLOOKUP(A86,'price sheet'!$A$3:$F$162,4,FALSE),IF($J$11="ret",VLOOKUP(A86,'price sheet'!$A$3:$F$162,6,FALSE),IF($J$11="par",VLOOKUP(A86,'price sheet'!$A$3:$F$162,5,FALSE),VLOOKUP(A86,'price sheet'!$A$3:$F$162,6,FALSE))))</f>
        <v>FREE</v>
      </c>
      <c r="G86" s="138"/>
      <c r="H86" s="461"/>
      <c r="I86" s="138"/>
      <c r="J86" s="248" t="str">
        <f t="shared" si="28"/>
        <v>FREE</v>
      </c>
      <c r="K86" s="281"/>
      <c r="L86" s="194"/>
      <c r="M86" s="194"/>
      <c r="N86" s="184">
        <f t="shared" si="29"/>
        <v>0</v>
      </c>
      <c r="O86" s="184">
        <f t="shared" si="30"/>
        <v>0</v>
      </c>
      <c r="P86" s="184">
        <f t="shared" si="31"/>
        <v>0</v>
      </c>
      <c r="Q86" s="185">
        <f>IF($J$11="fld",IF(K86&gt;0,J86*$G$142,0),SUM(N86:P86))</f>
        <v>0</v>
      </c>
    </row>
    <row r="87" spans="1:17" s="41" customFormat="1" ht="12" customHeight="1">
      <c r="A87" s="35" t="s">
        <v>115</v>
      </c>
      <c r="B87" s="60" t="s">
        <v>130</v>
      </c>
      <c r="C87" s="61"/>
      <c r="D87" s="61"/>
      <c r="E87" s="38"/>
      <c r="F87" s="39">
        <f>IF($J$11="fld",VLOOKUP(A87,'price sheet'!$A$3:$F$162,4,FALSE),IF($J$11="ret",VLOOKUP(A87,'price sheet'!$A$3:$F$162,6,FALSE),IF($J$11="par",VLOOKUP(A87,'price sheet'!$A$3:$F$162,5,FALSE),VLOOKUP(A87,'price sheet'!$A$3:$F$162,6,FALSE))))</f>
        <v>4.0199999999999996</v>
      </c>
      <c r="G87" s="138"/>
      <c r="H87" s="461" t="str">
        <f>IF(K87="X","Back Ordered","")</f>
        <v/>
      </c>
      <c r="I87" s="138"/>
      <c r="J87" s="248">
        <f t="shared" si="28"/>
        <v>0</v>
      </c>
      <c r="K87" s="281"/>
      <c r="L87" s="194"/>
      <c r="M87" s="194"/>
      <c r="N87" s="184">
        <f t="shared" si="29"/>
        <v>0</v>
      </c>
      <c r="O87" s="184">
        <f t="shared" si="30"/>
        <v>0</v>
      </c>
      <c r="P87" s="184">
        <f t="shared" si="31"/>
        <v>0</v>
      </c>
      <c r="Q87" s="185">
        <f>IF($J$11="fld",IF(K87&gt;0,J87*$G$142,0),SUM(N87:P87))</f>
        <v>0</v>
      </c>
    </row>
    <row r="88" spans="1:17" s="41" customFormat="1" ht="12" customHeight="1">
      <c r="A88" s="244" t="s">
        <v>520</v>
      </c>
      <c r="B88" s="245" t="s">
        <v>521</v>
      </c>
      <c r="C88" s="61"/>
      <c r="D88" s="61"/>
      <c r="E88" s="20"/>
      <c r="F88" s="39" t="str">
        <f>IF($J$11="fld",VLOOKUP(A88,'price sheet'!$A$3:$F$162,4,FALSE),IF($J$11="ret",VLOOKUP(A88,'price sheet'!$A$3:$F$162,6,FALSE),IF($J$11="par",VLOOKUP(A88,'price sheet'!$A$3:$F$162,5,FALSE),VLOOKUP(A88,'price sheet'!$A$3:$F$162,6,FALSE))))</f>
        <v>FREE</v>
      </c>
      <c r="G88" s="138"/>
      <c r="H88" s="461" t="str">
        <f>IF(K88="X","Back Ordered","")</f>
        <v/>
      </c>
      <c r="I88" s="138"/>
      <c r="J88" s="248" t="str">
        <f t="shared" si="28"/>
        <v>FREE</v>
      </c>
      <c r="K88" s="281"/>
      <c r="L88" s="194"/>
      <c r="M88" s="194"/>
      <c r="N88" s="184">
        <f t="shared" si="29"/>
        <v>0</v>
      </c>
      <c r="O88" s="184">
        <f t="shared" si="30"/>
        <v>0</v>
      </c>
      <c r="P88" s="184">
        <f t="shared" si="31"/>
        <v>0</v>
      </c>
      <c r="Q88" s="185">
        <f>IF($J$11="fld",IF(K88&gt;0,J88*$G$142,0),SUM(N88:P88))</f>
        <v>0</v>
      </c>
    </row>
    <row r="89" spans="1:17" s="41" customFormat="1" ht="12" customHeight="1">
      <c r="A89" s="244" t="s">
        <v>553</v>
      </c>
      <c r="B89" s="245" t="s">
        <v>554</v>
      </c>
      <c r="C89" s="61"/>
      <c r="D89" s="61"/>
      <c r="E89" s="20"/>
      <c r="F89" s="39" t="str">
        <f>IF($J$11="fld",VLOOKUP(A89,'price sheet'!$A$3:$F$162,4,FALSE),IF($J$11="ret",VLOOKUP(A89,'price sheet'!$A$3:$F$162,6,FALSE),IF($J$11="par",VLOOKUP(A89,'price sheet'!$A$3:$F$162,5,FALSE),VLOOKUP(A89,'price sheet'!$A$3:$F$162,6,FALSE))))</f>
        <v>FREE</v>
      </c>
      <c r="G89" s="138"/>
      <c r="H89" s="461" t="str">
        <f>IF(K89="X","Back Ordered","")</f>
        <v/>
      </c>
      <c r="I89" s="138"/>
      <c r="J89" s="248" t="str">
        <f t="shared" si="28"/>
        <v>FREE</v>
      </c>
      <c r="K89" s="281"/>
      <c r="L89" s="194"/>
      <c r="M89" s="194"/>
      <c r="N89" s="184">
        <f t="shared" si="29"/>
        <v>0</v>
      </c>
      <c r="O89" s="184">
        <f t="shared" si="30"/>
        <v>0</v>
      </c>
      <c r="P89" s="184">
        <f t="shared" si="31"/>
        <v>0</v>
      </c>
      <c r="Q89" s="185">
        <f>IF($J$11="fld",IF(K89&gt;0,J89*$G$142,0),SUM(N89:P89))</f>
        <v>0</v>
      </c>
    </row>
    <row r="90" spans="1:17" s="41" customFormat="1" ht="12" customHeight="1">
      <c r="A90" s="35" t="s">
        <v>222</v>
      </c>
      <c r="B90" s="245" t="s">
        <v>642</v>
      </c>
      <c r="C90" s="61"/>
      <c r="D90" s="61"/>
      <c r="E90" s="38"/>
      <c r="F90" s="39" t="str">
        <f>IF($J$11="fld",VLOOKUP(A90,'price sheet'!$A$3:$F$162,4,FALSE),IF($J$11="ret",VLOOKUP(A90,'price sheet'!$A$3:$F$162,6,FALSE),IF($J$11="par",VLOOKUP(A90,'price sheet'!$A$3:$F$162,5,FALSE),VLOOKUP(A90,'price sheet'!$A$3:$F$162,6,FALSE))))</f>
        <v>FREE</v>
      </c>
      <c r="G90" s="138"/>
      <c r="H90" s="461" t="str">
        <f>IF(K90="X","Back Ordered","")</f>
        <v/>
      </c>
      <c r="I90" s="138"/>
      <c r="J90" s="248" t="str">
        <f t="shared" si="28"/>
        <v>FREE</v>
      </c>
      <c r="K90" s="281"/>
      <c r="L90" s="194"/>
      <c r="M90" s="194"/>
      <c r="N90" s="184">
        <f t="shared" si="29"/>
        <v>0</v>
      </c>
      <c r="O90" s="184">
        <f t="shared" si="30"/>
        <v>0</v>
      </c>
      <c r="P90" s="184">
        <f t="shared" si="31"/>
        <v>0</v>
      </c>
      <c r="Q90" s="185">
        <f>IF($J$11="fld",IF(K90&gt;0,J90*$G$142,0),SUM(N90:P90))</f>
        <v>0</v>
      </c>
    </row>
    <row r="91" spans="1:17" s="41" customFormat="1">
      <c r="A91" s="35" t="s">
        <v>263</v>
      </c>
      <c r="B91" s="280" t="s">
        <v>643</v>
      </c>
      <c r="C91" s="61"/>
      <c r="D91" s="61"/>
      <c r="E91" s="38"/>
      <c r="F91" s="39" t="str">
        <f>IF($J$11="fld",VLOOKUP(A91,'price sheet'!$A$3:$F$162,4,FALSE),IF($J$11="ret",VLOOKUP(A91,'price sheet'!$A$3:$F$162,6,FALSE),IF($J$11="par",VLOOKUP(A91,'price sheet'!$A$3:$F$162,5,FALSE),VLOOKUP(A91,'price sheet'!$A$3:$F$162,6,FALSE))))</f>
        <v>FREE</v>
      </c>
      <c r="G91" s="138"/>
      <c r="H91" s="461" t="str">
        <f>IF(K91="X","Back Ordered","")</f>
        <v/>
      </c>
      <c r="I91" s="138"/>
      <c r="J91" s="248" t="str">
        <f t="shared" si="28"/>
        <v>FREE</v>
      </c>
      <c r="K91" s="281"/>
      <c r="L91" s="194"/>
      <c r="M91" s="194"/>
      <c r="N91" s="184">
        <f t="shared" si="29"/>
        <v>0</v>
      </c>
      <c r="O91" s="184">
        <f t="shared" si="30"/>
        <v>0</v>
      </c>
      <c r="P91" s="184">
        <f t="shared" si="31"/>
        <v>0</v>
      </c>
      <c r="Q91" s="185">
        <f>IF($J$11="fld",IF(K91&gt;0,J91*$G$142,0),SUM(N91:P91))</f>
        <v>0</v>
      </c>
    </row>
    <row r="92" spans="1:17" s="41" customFormat="1">
      <c r="A92" s="35" t="s">
        <v>352</v>
      </c>
      <c r="B92" s="280" t="s">
        <v>644</v>
      </c>
      <c r="C92" s="61"/>
      <c r="D92" s="61"/>
      <c r="E92" s="38"/>
      <c r="F92" s="39" t="str">
        <f>IF($J$11="fld",VLOOKUP(A92,'price sheet'!$A$3:$F$162,4,FALSE),IF($J$11="ret",VLOOKUP(A92,'price sheet'!$A$3:$F$162,6,FALSE),IF($J$11="par",VLOOKUP(A92,'price sheet'!$A$3:$F$162,5,FALSE),VLOOKUP(A92,'price sheet'!$A$3:$F$162,6,FALSE))))</f>
        <v>FREE</v>
      </c>
      <c r="G92" s="138"/>
      <c r="H92" s="461"/>
      <c r="I92" s="138"/>
      <c r="J92" s="248" t="str">
        <f t="shared" si="28"/>
        <v>FREE</v>
      </c>
      <c r="K92" s="281"/>
      <c r="L92" s="194"/>
      <c r="M92" s="194"/>
      <c r="N92" s="184">
        <f t="shared" si="29"/>
        <v>0</v>
      </c>
      <c r="O92" s="184">
        <f t="shared" si="30"/>
        <v>0</v>
      </c>
      <c r="P92" s="184">
        <f t="shared" si="31"/>
        <v>0</v>
      </c>
      <c r="Q92" s="185">
        <f>IF($J$11="fld",IF(K92&gt;0,J92*$G$142,0),SUM(N92:P92))</f>
        <v>0</v>
      </c>
    </row>
    <row r="93" spans="1:17" s="41" customFormat="1">
      <c r="A93" s="35" t="s">
        <v>117</v>
      </c>
      <c r="B93" s="60" t="s">
        <v>132</v>
      </c>
      <c r="C93" s="61"/>
      <c r="D93" s="61"/>
      <c r="E93" s="38"/>
      <c r="F93" s="39">
        <f>IF($J$11="fld",VLOOKUP(A93,'price sheet'!$A$3:$F$162,4,FALSE),IF($J$11="ret",VLOOKUP(A93,'price sheet'!$A$3:$F$162,6,FALSE),IF($J$11="par",VLOOKUP(A93,'price sheet'!$A$3:$F$162,5,FALSE),VLOOKUP(A93,'price sheet'!$A$3:$F$162,6,FALSE))))</f>
        <v>8.3999999999999986</v>
      </c>
      <c r="G93" s="138"/>
      <c r="H93" s="461"/>
      <c r="I93" s="138"/>
      <c r="J93" s="248">
        <f t="shared" si="28"/>
        <v>0</v>
      </c>
      <c r="K93" s="281"/>
      <c r="L93" s="194"/>
      <c r="M93" s="194"/>
      <c r="N93" s="184">
        <f t="shared" si="29"/>
        <v>0</v>
      </c>
      <c r="O93" s="184">
        <f t="shared" si="30"/>
        <v>0</v>
      </c>
      <c r="P93" s="184">
        <f t="shared" si="31"/>
        <v>0</v>
      </c>
      <c r="Q93" s="185">
        <f>IF($J$11="fld",IF(K93&gt;0,J93*$G$142,0),SUM(N93:P93))</f>
        <v>0</v>
      </c>
    </row>
    <row r="94" spans="1:17" s="41" customFormat="1" ht="12" customHeight="1">
      <c r="A94" s="35" t="s">
        <v>480</v>
      </c>
      <c r="B94" s="249" t="s">
        <v>613</v>
      </c>
      <c r="C94" s="60"/>
      <c r="D94" s="61"/>
      <c r="E94" s="38"/>
      <c r="F94" s="39">
        <f>IF($J$11="fld",VLOOKUP(A94,'price sheet'!$A$3:$F$162,4,FALSE),IF($J$11="ret",VLOOKUP(A94,'price sheet'!$A$3:$F$162,6,FALSE),IF($J$11="par",VLOOKUP(A94,'price sheet'!$A$3:$F$162,5,FALSE),VLOOKUP(A94,'price sheet'!$A$3:$F$162,6,FALSE))))</f>
        <v>2.0999999999999996</v>
      </c>
      <c r="G94" s="138"/>
      <c r="H94" s="461" t="str">
        <f>IF(K94="X","Back Ordered","")</f>
        <v/>
      </c>
      <c r="I94" s="138"/>
      <c r="J94" s="248">
        <f t="shared" si="28"/>
        <v>0</v>
      </c>
      <c r="K94" s="281"/>
      <c r="L94" s="194"/>
      <c r="M94" s="194"/>
      <c r="N94" s="184">
        <f t="shared" si="29"/>
        <v>0</v>
      </c>
      <c r="O94" s="184">
        <f t="shared" si="30"/>
        <v>0</v>
      </c>
      <c r="P94" s="184">
        <f t="shared" si="31"/>
        <v>0</v>
      </c>
      <c r="Q94" s="185">
        <f>IF($J$11="fld",IF(K94&gt;0,J94*$G$142,0),SUM(N94:P94))</f>
        <v>0</v>
      </c>
    </row>
    <row r="95" spans="1:17" s="41" customFormat="1" ht="12" customHeight="1">
      <c r="A95" s="35" t="s">
        <v>471</v>
      </c>
      <c r="B95" s="245" t="s">
        <v>614</v>
      </c>
      <c r="C95" s="61"/>
      <c r="D95" s="61"/>
      <c r="E95" s="38"/>
      <c r="F95" s="39">
        <f>IF($J$11="fld",VLOOKUP(A95,'price sheet'!$A$3:$F$162,4,FALSE),IF($J$11="ret",VLOOKUP(A95,'price sheet'!$A$3:$F$162,6,FALSE),IF($J$11="par",VLOOKUP(A95,'price sheet'!$A$3:$F$162,5,FALSE),VLOOKUP(A95,'price sheet'!$A$3:$F$162,6,FALSE))))</f>
        <v>4.17</v>
      </c>
      <c r="G95" s="138"/>
      <c r="H95" s="461" t="str">
        <f>IF(K95="X","Back Ordered","")</f>
        <v/>
      </c>
      <c r="I95" s="138"/>
      <c r="J95" s="248">
        <f t="shared" si="28"/>
        <v>0</v>
      </c>
      <c r="K95" s="281"/>
      <c r="L95" s="194"/>
      <c r="M95" s="194"/>
      <c r="N95" s="184">
        <f t="shared" si="29"/>
        <v>0</v>
      </c>
      <c r="O95" s="184">
        <f t="shared" si="30"/>
        <v>0</v>
      </c>
      <c r="P95" s="184">
        <f t="shared" si="31"/>
        <v>0</v>
      </c>
      <c r="Q95" s="185">
        <f>IF($J$11="fld",IF(K95&gt;0,J95*$G$142,0),SUM(N95:P95))</f>
        <v>0</v>
      </c>
    </row>
    <row r="96" spans="1:17" s="41" customFormat="1" ht="12" customHeight="1">
      <c r="A96" s="35" t="s">
        <v>333</v>
      </c>
      <c r="B96" s="249" t="s">
        <v>628</v>
      </c>
      <c r="C96" s="60"/>
      <c r="D96" s="61"/>
      <c r="E96" s="38"/>
      <c r="F96" s="270" t="s">
        <v>140</v>
      </c>
      <c r="G96" s="138"/>
      <c r="H96" s="461" t="str">
        <f>IF(K96="X","Back Ordered","")</f>
        <v/>
      </c>
      <c r="I96" s="138"/>
      <c r="J96" s="248" t="str">
        <f t="shared" si="28"/>
        <v>FREE</v>
      </c>
      <c r="K96" s="281"/>
      <c r="L96" s="194"/>
      <c r="M96" s="194"/>
      <c r="N96" s="184">
        <f t="shared" si="29"/>
        <v>0</v>
      </c>
      <c r="O96" s="184">
        <f t="shared" si="30"/>
        <v>0</v>
      </c>
      <c r="P96" s="184">
        <f t="shared" si="31"/>
        <v>0</v>
      </c>
      <c r="Q96" s="185">
        <f>IF($J$11="fld",IF(K96&gt;0,J96*$G$142,0),SUM(N96:P96))</f>
        <v>0</v>
      </c>
    </row>
    <row r="97" spans="1:17" s="41" customFormat="1">
      <c r="A97" s="35" t="s">
        <v>335</v>
      </c>
      <c r="B97" s="280" t="s">
        <v>629</v>
      </c>
      <c r="C97" s="61"/>
      <c r="D97" s="61"/>
      <c r="E97" s="38"/>
      <c r="F97" s="270" t="s">
        <v>140</v>
      </c>
      <c r="G97" s="138"/>
      <c r="H97" s="461" t="str">
        <f>IF(K97="X","Back Ordered","")</f>
        <v/>
      </c>
      <c r="I97" s="138"/>
      <c r="J97" s="248" t="str">
        <f t="shared" si="28"/>
        <v>FREE</v>
      </c>
      <c r="K97" s="281"/>
      <c r="L97" s="194"/>
      <c r="M97" s="194"/>
      <c r="N97" s="184">
        <f t="shared" si="29"/>
        <v>0</v>
      </c>
      <c r="O97" s="184">
        <f t="shared" si="30"/>
        <v>0</v>
      </c>
      <c r="P97" s="184">
        <f t="shared" si="31"/>
        <v>0</v>
      </c>
      <c r="Q97" s="185">
        <f>IF($J$11="fld",IF(K97&gt;0,J97*$G$142,0),SUM(N97:P97))</f>
        <v>0</v>
      </c>
    </row>
    <row r="98" spans="1:17" s="33" customFormat="1" ht="15.75">
      <c r="A98" s="357"/>
      <c r="B98" s="574" t="s">
        <v>578</v>
      </c>
      <c r="C98" s="575"/>
      <c r="D98" s="575"/>
      <c r="E98" s="576"/>
      <c r="F98" s="358"/>
      <c r="G98" s="359"/>
      <c r="H98" s="359"/>
      <c r="I98" s="359"/>
      <c r="J98" s="372">
        <f>SUM(J100:J106)</f>
        <v>0</v>
      </c>
      <c r="K98" s="447"/>
      <c r="L98" s="193"/>
      <c r="M98" s="193"/>
      <c r="N98" s="184"/>
      <c r="O98" s="184"/>
      <c r="P98" s="184"/>
      <c r="Q98" s="185"/>
    </row>
    <row r="99" spans="1:17" s="41" customFormat="1" ht="12.75" customHeight="1">
      <c r="A99" s="244" t="s">
        <v>466</v>
      </c>
      <c r="B99" s="249" t="s">
        <v>666</v>
      </c>
      <c r="C99" s="60"/>
      <c r="D99" s="61"/>
      <c r="E99" s="38"/>
      <c r="F99" s="39">
        <f>IF($J$11="fld",VLOOKUP(A99,'price sheet'!$A$3:$F$162,4,FALSE),IF($J$11="ret",VLOOKUP(A99,'price sheet'!$A$3:$F$162,6,FALSE),IF($J$11="par",VLOOKUP(A99,'price sheet'!$A$3:$F$162,5,FALSE),VLOOKUP(A99,'price sheet'!$A$3:$F$162,6,FALSE))))</f>
        <v>0.72</v>
      </c>
      <c r="G99" s="138"/>
      <c r="H99" s="461" t="str">
        <f>IF(K99="X","Back Ordered","")</f>
        <v/>
      </c>
      <c r="I99" s="138"/>
      <c r="J99" s="248">
        <f t="shared" ref="J99" si="32">IF(K99="x",0,IF(F99="n/a","N/A",IF(F99="free","FREE",IF(I99=0,SUM(G99*F99),SUM(I99*F99)))))</f>
        <v>0</v>
      </c>
      <c r="K99" s="281"/>
      <c r="L99" s="194"/>
      <c r="M99" s="194"/>
      <c r="N99" s="184">
        <f t="shared" ref="N99" si="33">IF($J$11="ret",IF(G99&gt;9,J99*15%,0),0)</f>
        <v>0</v>
      </c>
      <c r="O99" s="184">
        <f t="shared" ref="O99" si="34">IF($J$11="ret",IF(G99&gt;49,J99*10%,0),0)</f>
        <v>0</v>
      </c>
      <c r="P99" s="184">
        <f t="shared" ref="P99" si="35">IF($J$11="ret",IF(G99&gt;99,J99*5%,0),0)</f>
        <v>0</v>
      </c>
      <c r="Q99" s="185">
        <f>IF($J$11="fld",IF(K99&gt;0,J99*$G$142,0),SUM(N99:P99))</f>
        <v>0</v>
      </c>
    </row>
    <row r="100" spans="1:17" s="41" customFormat="1" ht="12.75" customHeight="1">
      <c r="A100" s="244" t="s">
        <v>555</v>
      </c>
      <c r="B100" s="249" t="s">
        <v>583</v>
      </c>
      <c r="C100" s="60"/>
      <c r="D100" s="61"/>
      <c r="E100" s="38"/>
      <c r="F100" s="39" t="str">
        <f>IF($J$11="fld",VLOOKUP(A100,'price sheet'!$A$3:$F$162,4,FALSE),IF($J$11="ret",VLOOKUP(A100,'price sheet'!$A$3:$F$162,6,FALSE),IF($J$11="par",VLOOKUP(A100,'price sheet'!$A$3:$F$162,5,FALSE),VLOOKUP(A100,'price sheet'!$A$3:$F$162,6,FALSE))))</f>
        <v>FREE</v>
      </c>
      <c r="G100" s="138"/>
      <c r="H100" s="461" t="str">
        <f>IF(K100="X","Back Ordered","")</f>
        <v/>
      </c>
      <c r="I100" s="138"/>
      <c r="J100" s="248" t="str">
        <f t="shared" ref="J100:J106" si="36">IF(K100="x",0,IF(F100="n/a","N/A",IF(F100="free","FREE",IF(I100=0,SUM(G100*F100),SUM(I100*F100)))))</f>
        <v>FREE</v>
      </c>
      <c r="K100" s="281"/>
      <c r="L100" s="194"/>
      <c r="M100" s="194"/>
      <c r="N100" s="184">
        <f t="shared" ref="N100:N106" si="37">IF($J$11="ret",IF(G100&gt;9,J100*15%,0),0)</f>
        <v>0</v>
      </c>
      <c r="O100" s="184">
        <f t="shared" ref="O100:O106" si="38">IF($J$11="ret",IF(G100&gt;49,J100*10%,0),0)</f>
        <v>0</v>
      </c>
      <c r="P100" s="184">
        <f t="shared" ref="P100:P106" si="39">IF($J$11="ret",IF(G100&gt;99,J100*5%,0),0)</f>
        <v>0</v>
      </c>
      <c r="Q100" s="185">
        <f>IF($J$11="fld",IF(K100&gt;0,J100*$G$142,0),SUM(N100:P100))</f>
        <v>0</v>
      </c>
    </row>
    <row r="101" spans="1:17" s="41" customFormat="1">
      <c r="A101" s="35" t="s">
        <v>153</v>
      </c>
      <c r="B101" s="58" t="s">
        <v>155</v>
      </c>
      <c r="C101" s="60"/>
      <c r="D101" s="61"/>
      <c r="E101" s="38"/>
      <c r="F101" s="39">
        <f>IF($J$11="fld",VLOOKUP(A101,'price sheet'!$A$3:$F$162,4,FALSE),IF($J$11="ret",VLOOKUP(A101,'price sheet'!$A$3:$F$162,6,FALSE),IF($J$11="par",VLOOKUP(A101,'price sheet'!$A$3:$F$162,5,FALSE),VLOOKUP(A101,'price sheet'!$A$3:$F$162,6,FALSE))))</f>
        <v>0.72</v>
      </c>
      <c r="G101" s="138"/>
      <c r="H101" s="461"/>
      <c r="I101" s="138"/>
      <c r="J101" s="248">
        <f t="shared" si="36"/>
        <v>0</v>
      </c>
      <c r="K101" s="281"/>
      <c r="L101" s="194"/>
      <c r="M101" s="194"/>
      <c r="N101" s="184">
        <f t="shared" si="37"/>
        <v>0</v>
      </c>
      <c r="O101" s="184">
        <f t="shared" si="38"/>
        <v>0</v>
      </c>
      <c r="P101" s="184">
        <f t="shared" si="39"/>
        <v>0</v>
      </c>
      <c r="Q101" s="185">
        <f>IF($J$11="fld",IF(K101&gt;0,J101*$G$142,0),SUM(N101:P101))</f>
        <v>0</v>
      </c>
    </row>
    <row r="102" spans="1:17" s="41" customFormat="1">
      <c r="A102" s="35" t="s">
        <v>158</v>
      </c>
      <c r="B102" s="58" t="s">
        <v>156</v>
      </c>
      <c r="C102" s="60"/>
      <c r="D102" s="61"/>
      <c r="E102" s="38"/>
      <c r="F102" s="39">
        <f>IF($J$11="fld",VLOOKUP(A102,'price sheet'!$A$3:$F$162,4,FALSE),IF($J$11="ret",VLOOKUP(A102,'price sheet'!$A$3:$F$162,6,FALSE),IF($J$11="par",VLOOKUP(A102,'price sheet'!$A$3:$F$162,5,FALSE),VLOOKUP(A102,'price sheet'!$A$3:$F$162,6,FALSE))))</f>
        <v>0.72</v>
      </c>
      <c r="G102" s="138"/>
      <c r="H102" s="461"/>
      <c r="I102" s="138"/>
      <c r="J102" s="248">
        <f t="shared" si="36"/>
        <v>0</v>
      </c>
      <c r="K102" s="281"/>
      <c r="L102" s="194"/>
      <c r="M102" s="194"/>
      <c r="N102" s="184">
        <f t="shared" si="37"/>
        <v>0</v>
      </c>
      <c r="O102" s="184">
        <f t="shared" si="38"/>
        <v>0</v>
      </c>
      <c r="P102" s="184">
        <f t="shared" si="39"/>
        <v>0</v>
      </c>
      <c r="Q102" s="185">
        <f>IF($J$11="fld",IF(K102&gt;0,J102*$G$142,0),SUM(N102:P102))</f>
        <v>0</v>
      </c>
    </row>
    <row r="103" spans="1:17" s="41" customFormat="1" ht="12" customHeight="1">
      <c r="A103" s="35" t="s">
        <v>160</v>
      </c>
      <c r="B103" s="58" t="s">
        <v>157</v>
      </c>
      <c r="C103" s="60"/>
      <c r="D103" s="61"/>
      <c r="E103" s="38"/>
      <c r="F103" s="39">
        <f>IF($J$11="fld",VLOOKUP(A103,'price sheet'!$A$3:$F$162,4,FALSE),IF($J$11="ret",VLOOKUP(A103,'price sheet'!$A$3:$F$162,6,FALSE),IF($J$11="par",VLOOKUP(A103,'price sheet'!$A$3:$F$162,5,FALSE),VLOOKUP(A103,'price sheet'!$A$3:$F$162,6,FALSE))))</f>
        <v>0.72</v>
      </c>
      <c r="G103" s="138"/>
      <c r="H103" s="461" t="str">
        <f>IF(K103="X","Back Ordered","")</f>
        <v/>
      </c>
      <c r="I103" s="138"/>
      <c r="J103" s="248">
        <f t="shared" si="36"/>
        <v>0</v>
      </c>
      <c r="K103" s="281"/>
      <c r="L103" s="194"/>
      <c r="M103" s="194"/>
      <c r="N103" s="184">
        <f t="shared" si="37"/>
        <v>0</v>
      </c>
      <c r="O103" s="184">
        <f t="shared" si="38"/>
        <v>0</v>
      </c>
      <c r="P103" s="184">
        <f t="shared" si="39"/>
        <v>0</v>
      </c>
      <c r="Q103" s="185">
        <f>IF($J$11="fld",IF(K103&gt;0,J103*$G$142,0),SUM(N103:P103))</f>
        <v>0</v>
      </c>
    </row>
    <row r="104" spans="1:17" s="41" customFormat="1" ht="12" customHeight="1">
      <c r="A104" s="244" t="s">
        <v>363</v>
      </c>
      <c r="B104" s="245" t="s">
        <v>543</v>
      </c>
      <c r="C104" s="61"/>
      <c r="D104" s="61"/>
      <c r="E104" s="38"/>
      <c r="F104" s="39">
        <f>IF($J$11="fld",VLOOKUP(A104,'price sheet'!$A$3:$F$162,4,FALSE),IF($J$11="ret",VLOOKUP(A104,'price sheet'!$A$3:$F$162,6,FALSE),IF($J$11="par",VLOOKUP(A104,'price sheet'!$A$3:$F$162,5,FALSE),VLOOKUP(A104,'price sheet'!$A$3:$F$162,6,FALSE))))</f>
        <v>0.72</v>
      </c>
      <c r="G104" s="138"/>
      <c r="H104" s="461" t="str">
        <f>IF(K104="X","Back Ordered","")</f>
        <v/>
      </c>
      <c r="I104" s="138"/>
      <c r="J104" s="248">
        <f>IF(K104="x",0,IF(F104="n/a","N/A",IF(F104="free","FREE",IF(I104=0,SUM(G104*F104),SUM(I104*F104)))))</f>
        <v>0</v>
      </c>
      <c r="K104" s="281"/>
      <c r="L104" s="194"/>
      <c r="M104" s="194"/>
      <c r="N104" s="184">
        <f t="shared" si="37"/>
        <v>0</v>
      </c>
      <c r="O104" s="184">
        <f t="shared" si="38"/>
        <v>0</v>
      </c>
      <c r="P104" s="184">
        <f t="shared" si="39"/>
        <v>0</v>
      </c>
      <c r="Q104" s="185">
        <f>IF($J$11="fld",IF(K104&gt;0,J104*$G$142,0),SUM(N104:P104))</f>
        <v>0</v>
      </c>
    </row>
    <row r="105" spans="1:17" s="41" customFormat="1">
      <c r="A105" s="35" t="s">
        <v>162</v>
      </c>
      <c r="B105" s="36" t="s">
        <v>164</v>
      </c>
      <c r="C105" s="37"/>
      <c r="D105" s="37"/>
      <c r="E105" s="38"/>
      <c r="F105" s="39">
        <f>IF($J$11="fld",VLOOKUP(A105,'price sheet'!$A$3:$F$162,4,FALSE),IF($J$11="ret",VLOOKUP(A105,'price sheet'!$A$3:$F$162,6,FALSE),IF($J$11="par",VLOOKUP(A105,'price sheet'!$A$3:$F$162,5,FALSE),VLOOKUP(A105,'price sheet'!$A$3:$F$162,6,FALSE))))</f>
        <v>0.72</v>
      </c>
      <c r="G105" s="138"/>
      <c r="H105" s="461"/>
      <c r="I105" s="138"/>
      <c r="J105" s="248">
        <f t="shared" si="36"/>
        <v>0</v>
      </c>
      <c r="K105" s="281"/>
      <c r="L105" s="194"/>
      <c r="M105" s="194"/>
      <c r="N105" s="184">
        <f t="shared" si="37"/>
        <v>0</v>
      </c>
      <c r="O105" s="184">
        <f t="shared" si="38"/>
        <v>0</v>
      </c>
      <c r="P105" s="184">
        <f t="shared" si="39"/>
        <v>0</v>
      </c>
      <c r="Q105" s="185">
        <f>IF($J$11="fld",IF(K105&gt;0,J105*$G$142,0),SUM(N105:P105))</f>
        <v>0</v>
      </c>
    </row>
    <row r="106" spans="1:17" s="507" customFormat="1" hidden="1">
      <c r="A106" s="495" t="s">
        <v>245</v>
      </c>
      <c r="B106" s="512" t="s">
        <v>361</v>
      </c>
      <c r="C106" s="508"/>
      <c r="D106" s="508"/>
      <c r="E106" s="513"/>
      <c r="F106" s="499">
        <f>IF($J$11="fld",VLOOKUP(A106,'price sheet'!$A$3:$F$162,4,FALSE),IF($J$11="ret",VLOOKUP(A106,'price sheet'!$A$3:$F$162,6,FALSE),IF($J$11="par",VLOOKUP(A106,'price sheet'!$A$3:$F$162,5,FALSE),VLOOKUP(A106,'price sheet'!$A$3:$F$162,6,FALSE))))</f>
        <v>0.72</v>
      </c>
      <c r="G106" s="500"/>
      <c r="H106" s="501" t="str">
        <f>IF(K106="X","Back Ordered","")</f>
        <v/>
      </c>
      <c r="I106" s="500"/>
      <c r="J106" s="502">
        <f t="shared" si="36"/>
        <v>0</v>
      </c>
      <c r="K106" s="503"/>
      <c r="L106" s="504"/>
      <c r="M106" s="504"/>
      <c r="N106" s="505">
        <f t="shared" si="37"/>
        <v>0</v>
      </c>
      <c r="O106" s="505">
        <f t="shared" si="38"/>
        <v>0</v>
      </c>
      <c r="P106" s="505">
        <f t="shared" si="39"/>
        <v>0</v>
      </c>
      <c r="Q106" s="506">
        <f>IF($J$11="fld",IF(K106&gt;0,J106*$G$142,0),SUM(N106:P106))</f>
        <v>0</v>
      </c>
    </row>
    <row r="107" spans="1:17" s="33" customFormat="1" ht="15.75">
      <c r="A107" s="342"/>
      <c r="B107" s="530" t="s">
        <v>491</v>
      </c>
      <c r="C107" s="531"/>
      <c r="D107" s="531"/>
      <c r="E107" s="532"/>
      <c r="F107" s="343"/>
      <c r="G107" s="344"/>
      <c r="H107" s="344"/>
      <c r="I107" s="344"/>
      <c r="J107" s="360">
        <f>SUM(J108:J113)</f>
        <v>0</v>
      </c>
      <c r="K107" s="447"/>
      <c r="L107" s="193"/>
      <c r="M107" s="193"/>
      <c r="N107" s="184"/>
      <c r="O107" s="184"/>
      <c r="P107" s="184"/>
      <c r="Q107" s="185"/>
    </row>
    <row r="108" spans="1:17" s="19" customFormat="1" ht="12" hidden="1" customHeight="1">
      <c r="A108" s="35" t="s">
        <v>467</v>
      </c>
      <c r="B108" s="35" t="s">
        <v>488</v>
      </c>
      <c r="C108" s="36"/>
      <c r="D108" s="37"/>
      <c r="E108" s="38"/>
      <c r="F108" s="39">
        <f>IF($J$11="fld",VLOOKUP(A108,'price sheet'!$A$3:$F$162,4,FALSE),IF($J$11="ret",VLOOKUP(A108,'price sheet'!$A$3:$F$162,6,FALSE),IF($J$11="par",VLOOKUP(A108,'price sheet'!$A$3:$F$162,5,FALSE),VLOOKUP(A108,'price sheet'!$A$3:$F$162,6,FALSE))))</f>
        <v>10.5</v>
      </c>
      <c r="G108" s="138"/>
      <c r="H108" s="461" t="str">
        <f t="shared" ref="H108:H113" si="40">IF(K108="X","Back Ordered","")</f>
        <v/>
      </c>
      <c r="I108" s="138"/>
      <c r="J108" s="248">
        <f t="shared" ref="J108:J113" si="41">IF(K108="x",0,IF(F108="n/a","N/A",IF(F108="free","FREE",IF(I108=0,SUM(G108*F108),SUM(I108*F108)))))</f>
        <v>0</v>
      </c>
      <c r="K108" s="281"/>
      <c r="L108" s="194"/>
      <c r="M108" s="194"/>
      <c r="N108" s="184">
        <f t="shared" ref="N108:N118" si="42">IF($J$11="ret",IF(G108&gt;9,J108*15%,0),0)</f>
        <v>0</v>
      </c>
      <c r="O108" s="184">
        <f t="shared" ref="O108:O118" si="43">IF($J$11="ret",IF(G108&gt;49,J108*10%,0),0)</f>
        <v>0</v>
      </c>
      <c r="P108" s="184">
        <f t="shared" ref="P108:P118" si="44">IF($J$11="ret",IF(G108&gt;99,J108*5%,0),0)</f>
        <v>0</v>
      </c>
      <c r="Q108" s="185">
        <f>IF($J$11="fld",IF(K108&gt;0,J108*$G$142,0),SUM(N108:P108))</f>
        <v>0</v>
      </c>
    </row>
    <row r="109" spans="1:17" s="41" customFormat="1" ht="12" hidden="1" customHeight="1">
      <c r="A109" s="35" t="s">
        <v>468</v>
      </c>
      <c r="B109" s="35" t="s">
        <v>489</v>
      </c>
      <c r="C109" s="36"/>
      <c r="D109" s="37"/>
      <c r="E109" s="38"/>
      <c r="F109" s="39">
        <f>IF($J$11="fld",VLOOKUP(A109,'price sheet'!$A$3:$F$162,4,FALSE),IF($J$11="ret",VLOOKUP(A109,'price sheet'!$A$3:$F$162,6,FALSE),IF($J$11="par",VLOOKUP(A109,'price sheet'!$A$3:$F$162,5,FALSE),VLOOKUP(A109,'price sheet'!$A$3:$F$162,6,FALSE))))</f>
        <v>10.5</v>
      </c>
      <c r="G109" s="138"/>
      <c r="H109" s="461" t="str">
        <f t="shared" si="40"/>
        <v/>
      </c>
      <c r="I109" s="138"/>
      <c r="J109" s="248">
        <f t="shared" si="41"/>
        <v>0</v>
      </c>
      <c r="K109" s="281"/>
      <c r="L109" s="194"/>
      <c r="M109" s="194"/>
      <c r="N109" s="184">
        <f t="shared" si="42"/>
        <v>0</v>
      </c>
      <c r="O109" s="184">
        <f t="shared" si="43"/>
        <v>0</v>
      </c>
      <c r="P109" s="184">
        <f t="shared" si="44"/>
        <v>0</v>
      </c>
      <c r="Q109" s="185">
        <f>IF($J$11="fld",IF(K109&gt;0,J109*$G$142,0),SUM(N109:P109))</f>
        <v>0</v>
      </c>
    </row>
    <row r="110" spans="1:17" s="41" customFormat="1" ht="12" hidden="1" customHeight="1">
      <c r="A110" s="35" t="s">
        <v>469</v>
      </c>
      <c r="B110" s="35" t="s">
        <v>470</v>
      </c>
      <c r="C110" s="36"/>
      <c r="D110" s="37"/>
      <c r="E110" s="38"/>
      <c r="F110" s="39">
        <f>IF($J$11="fld",VLOOKUP(A110,'price sheet'!$A$3:$F$162,4,FALSE),IF($J$11="ret",VLOOKUP(A110,'price sheet'!$A$3:$F$162,6,FALSE),IF($J$11="par",VLOOKUP(A110,'price sheet'!$A$3:$F$162,5,FALSE),VLOOKUP(A110,'price sheet'!$A$3:$F$162,6,FALSE))))</f>
        <v>28.139999999999997</v>
      </c>
      <c r="G110" s="138"/>
      <c r="H110" s="461" t="str">
        <f t="shared" si="40"/>
        <v/>
      </c>
      <c r="I110" s="138"/>
      <c r="J110" s="248">
        <f t="shared" si="41"/>
        <v>0</v>
      </c>
      <c r="K110" s="281"/>
      <c r="L110" s="194"/>
      <c r="M110" s="194"/>
      <c r="N110" s="184">
        <f t="shared" si="42"/>
        <v>0</v>
      </c>
      <c r="O110" s="184">
        <f t="shared" si="43"/>
        <v>0</v>
      </c>
      <c r="P110" s="184">
        <f t="shared" si="44"/>
        <v>0</v>
      </c>
      <c r="Q110" s="185">
        <f>IF($J$11="fld",IF(K110&gt;0,J110*$G$142,0),SUM(N110:P110))</f>
        <v>0</v>
      </c>
    </row>
    <row r="111" spans="1:17" s="41" customFormat="1" ht="12" customHeight="1">
      <c r="A111" s="244" t="s">
        <v>556</v>
      </c>
      <c r="B111" s="254" t="s">
        <v>584</v>
      </c>
      <c r="C111" s="37"/>
      <c r="D111" s="37"/>
      <c r="E111" s="38"/>
      <c r="F111" s="39">
        <f>IF($J$11="fld",VLOOKUP(A111,'price sheet'!$A$3:$F$162,4,FALSE),IF($J$11="ret",VLOOKUP(A111,'price sheet'!$A$3:$F$162,6,FALSE),IF($J$11="par",VLOOKUP(A111,'price sheet'!$A$3:$F$162,5,FALSE),VLOOKUP(A111,'price sheet'!$A$3:$F$162,6,FALSE))))</f>
        <v>9.48</v>
      </c>
      <c r="G111" s="138"/>
      <c r="H111" s="461" t="str">
        <f t="shared" si="40"/>
        <v/>
      </c>
      <c r="I111" s="138"/>
      <c r="J111" s="248">
        <f t="shared" si="41"/>
        <v>0</v>
      </c>
      <c r="K111" s="281"/>
      <c r="L111" s="194"/>
      <c r="M111" s="194"/>
      <c r="N111" s="184">
        <f t="shared" si="42"/>
        <v>0</v>
      </c>
      <c r="O111" s="184">
        <f t="shared" si="43"/>
        <v>0</v>
      </c>
      <c r="P111" s="184">
        <f t="shared" si="44"/>
        <v>0</v>
      </c>
      <c r="Q111" s="185">
        <f>IF($J$11="fld",IF(K111&gt;0,J111*$G$142,0),SUM(N111:P111))</f>
        <v>0</v>
      </c>
    </row>
    <row r="112" spans="1:17" s="41" customFormat="1" ht="12" customHeight="1">
      <c r="A112" s="244" t="s">
        <v>557</v>
      </c>
      <c r="B112" s="254" t="s">
        <v>585</v>
      </c>
      <c r="C112" s="37"/>
      <c r="D112" s="37"/>
      <c r="E112" s="38"/>
      <c r="F112" s="39">
        <f>IF($J$11="fld",VLOOKUP(A112,'price sheet'!$A$3:$F$162,4,FALSE),IF($J$11="ret",VLOOKUP(A112,'price sheet'!$A$3:$F$162,6,FALSE),IF($J$11="par",VLOOKUP(A112,'price sheet'!$A$3:$F$162,5,FALSE),VLOOKUP(A112,'price sheet'!$A$3:$F$162,6,FALSE))))</f>
        <v>4.8599999999999994</v>
      </c>
      <c r="G112" s="138"/>
      <c r="H112" s="461" t="str">
        <f t="shared" si="40"/>
        <v/>
      </c>
      <c r="I112" s="138"/>
      <c r="J112" s="248">
        <f t="shared" si="41"/>
        <v>0</v>
      </c>
      <c r="K112" s="281"/>
      <c r="L112" s="194"/>
      <c r="M112" s="194"/>
      <c r="N112" s="184">
        <f t="shared" si="42"/>
        <v>0</v>
      </c>
      <c r="O112" s="184">
        <f t="shared" si="43"/>
        <v>0</v>
      </c>
      <c r="P112" s="184">
        <f t="shared" si="44"/>
        <v>0</v>
      </c>
      <c r="Q112" s="185">
        <f>IF($J$11="fld",IF(K112&gt;0,J112*$G$142,0),SUM(N112:P112))</f>
        <v>0</v>
      </c>
    </row>
    <row r="113" spans="1:18" s="41" customFormat="1" ht="12" customHeight="1">
      <c r="A113" s="244" t="s">
        <v>558</v>
      </c>
      <c r="B113" s="254" t="s">
        <v>586</v>
      </c>
      <c r="C113" s="37"/>
      <c r="D113" s="37"/>
      <c r="E113" s="38"/>
      <c r="F113" s="39">
        <f>IF($J$11="fld",VLOOKUP(A113,'price sheet'!$A$3:$F$162,4,FALSE),IF($J$11="ret",VLOOKUP(A113,'price sheet'!$A$3:$F$162,6,FALSE),IF($J$11="par",VLOOKUP(A113,'price sheet'!$A$3:$F$162,5,FALSE),VLOOKUP(A113,'price sheet'!$A$3:$F$162,6,FALSE))))</f>
        <v>2.0999999999999996</v>
      </c>
      <c r="G113" s="138"/>
      <c r="H113" s="461" t="str">
        <f t="shared" si="40"/>
        <v/>
      </c>
      <c r="I113" s="138"/>
      <c r="J113" s="248">
        <f t="shared" si="41"/>
        <v>0</v>
      </c>
      <c r="K113" s="281"/>
      <c r="L113" s="194"/>
      <c r="M113" s="194"/>
      <c r="N113" s="184">
        <f t="shared" si="42"/>
        <v>0</v>
      </c>
      <c r="O113" s="184">
        <f t="shared" si="43"/>
        <v>0</v>
      </c>
      <c r="P113" s="184">
        <f t="shared" si="44"/>
        <v>0</v>
      </c>
      <c r="Q113" s="185">
        <f>IF($J$11="fld",IF(K113&gt;0,J113*$G$142,0),SUM(N113:P113))</f>
        <v>0</v>
      </c>
    </row>
    <row r="114" spans="1:18" s="33" customFormat="1" ht="15.75" hidden="1">
      <c r="A114" s="348"/>
      <c r="B114" s="527" t="s">
        <v>492</v>
      </c>
      <c r="C114" s="528"/>
      <c r="D114" s="528"/>
      <c r="E114" s="529"/>
      <c r="F114" s="349"/>
      <c r="G114" s="350"/>
      <c r="H114" s="350"/>
      <c r="I114" s="350"/>
      <c r="J114" s="373">
        <f>SUM(J116:J118)</f>
        <v>0</v>
      </c>
      <c r="K114" s="447"/>
      <c r="L114" s="193"/>
      <c r="M114" s="193"/>
      <c r="N114" s="184">
        <f t="shared" si="42"/>
        <v>0</v>
      </c>
      <c r="O114" s="184">
        <f t="shared" si="43"/>
        <v>0</v>
      </c>
      <c r="P114" s="184">
        <f t="shared" si="44"/>
        <v>0</v>
      </c>
      <c r="Q114" s="185">
        <f>IF($J$11="fld",IF(K114&gt;0,J114*$G$142,0),SUM(N114:P114))</f>
        <v>0</v>
      </c>
    </row>
    <row r="115" spans="1:18" s="41" customFormat="1" ht="12" hidden="1" customHeight="1">
      <c r="A115" s="35" t="s">
        <v>109</v>
      </c>
      <c r="B115" s="60" t="s">
        <v>181</v>
      </c>
      <c r="C115" s="61"/>
      <c r="D115" s="61"/>
      <c r="E115" s="38"/>
      <c r="F115" s="39">
        <f>IF($J$11="fld",VLOOKUP(A115,'price sheet'!$A$3:$F$162,4,FALSE),IF($J$11="ret",VLOOKUP(A115,'price sheet'!$A$3:$F$162,6,FALSE),IF($J$11="par",VLOOKUP(A115,'price sheet'!$A$3:$F$162,5,FALSE),VLOOKUP(A115,'price sheet'!$A$3:$F$162,6,FALSE))))</f>
        <v>9.1199999999999992</v>
      </c>
      <c r="G115" s="138"/>
      <c r="H115" s="461" t="str">
        <f>IF(K115="X","Back Ordered","")</f>
        <v/>
      </c>
      <c r="I115" s="138"/>
      <c r="J115" s="248">
        <f>IF(K115="x",0,IF(F115="n/a","N/A",IF(F115="free","FREE",IF(I115=0,SUM(G115*F115),SUM(I115*F115)))))</f>
        <v>0</v>
      </c>
      <c r="K115" s="281"/>
      <c r="L115" s="194"/>
      <c r="M115" s="194"/>
      <c r="N115" s="184">
        <f t="shared" si="42"/>
        <v>0</v>
      </c>
      <c r="O115" s="184">
        <f t="shared" si="43"/>
        <v>0</v>
      </c>
      <c r="P115" s="184">
        <f t="shared" si="44"/>
        <v>0</v>
      </c>
      <c r="Q115" s="185">
        <f>IF($J$11="fld",IF(K115&gt;0,J115*$G$142,0),SUM(N115:P115))</f>
        <v>0</v>
      </c>
    </row>
    <row r="116" spans="1:18" s="507" customFormat="1" ht="12" hidden="1" customHeight="1">
      <c r="A116" s="495" t="s">
        <v>113</v>
      </c>
      <c r="B116" s="514" t="s">
        <v>579</v>
      </c>
      <c r="C116" s="512"/>
      <c r="D116" s="508"/>
      <c r="E116" s="513"/>
      <c r="F116" s="499">
        <f>IF($J$11="fld",VLOOKUP(A116,'price sheet'!$A$3:$F$162,4,FALSE),IF($J$11="ret",VLOOKUP(A116,'price sheet'!$A$3:$F$162,6,FALSE),IF($J$11="par",VLOOKUP(A116,'price sheet'!$A$3:$F$162,5,FALSE),VLOOKUP(A116,'price sheet'!$A$3:$F$162,6,FALSE))))</f>
        <v>2.2799999999999998</v>
      </c>
      <c r="G116" s="500"/>
      <c r="H116" s="501" t="str">
        <f>IF(K116="X","Back Ordered","")</f>
        <v/>
      </c>
      <c r="I116" s="500"/>
      <c r="J116" s="502">
        <f>IF(K116="x",0,IF(F116="n/a","N/A",IF(F116="free","FREE",IF(I116=0,SUM(G116*F116),SUM(I116*F116)))))</f>
        <v>0</v>
      </c>
      <c r="K116" s="503"/>
      <c r="L116" s="504"/>
      <c r="M116" s="504"/>
      <c r="N116" s="505">
        <f t="shared" si="42"/>
        <v>0</v>
      </c>
      <c r="O116" s="505">
        <f t="shared" si="43"/>
        <v>0</v>
      </c>
      <c r="P116" s="505">
        <f t="shared" si="44"/>
        <v>0</v>
      </c>
      <c r="Q116" s="506">
        <f>IF($J$11="fld",IF(K116&gt;0,J116*$G$142,0),SUM(N116:P116))</f>
        <v>0</v>
      </c>
    </row>
    <row r="117" spans="1:18" s="507" customFormat="1" ht="12" hidden="1" customHeight="1">
      <c r="A117" s="495" t="s">
        <v>112</v>
      </c>
      <c r="B117" s="496" t="s">
        <v>580</v>
      </c>
      <c r="C117" s="497"/>
      <c r="D117" s="497"/>
      <c r="E117" s="513"/>
      <c r="F117" s="499">
        <f>IF($J$11="fld",VLOOKUP(A117,'price sheet'!$A$3:$F$162,4,FALSE),IF($J$11="ret",VLOOKUP(A117,'price sheet'!$A$3:$F$162,6,FALSE),IF($J$11="par",VLOOKUP(A117,'price sheet'!$A$3:$F$162,5,FALSE),VLOOKUP(A117,'price sheet'!$A$3:$F$162,6,FALSE))))</f>
        <v>2.64</v>
      </c>
      <c r="G117" s="500"/>
      <c r="H117" s="501" t="str">
        <f>IF(K117="X","Back Ordered","")</f>
        <v/>
      </c>
      <c r="I117" s="500"/>
      <c r="J117" s="502">
        <f>IF(K117="x",0,IF(F117="n/a","N/A",IF(F117="free","FREE",IF(I117=0,SUM(G117*F117),SUM(I117*F117)))))</f>
        <v>0</v>
      </c>
      <c r="K117" s="503"/>
      <c r="L117" s="504"/>
      <c r="M117" s="504"/>
      <c r="N117" s="505">
        <f t="shared" si="42"/>
        <v>0</v>
      </c>
      <c r="O117" s="505">
        <f t="shared" si="43"/>
        <v>0</v>
      </c>
      <c r="P117" s="505">
        <f t="shared" si="44"/>
        <v>0</v>
      </c>
      <c r="Q117" s="506">
        <f>IF($J$11="fld",IF(K117&gt;0,J117*$G$142,0),SUM(N117:P117))</f>
        <v>0</v>
      </c>
    </row>
    <row r="118" spans="1:18" s="507" customFormat="1" hidden="1">
      <c r="A118" s="495" t="s">
        <v>483</v>
      </c>
      <c r="B118" s="515" t="s">
        <v>620</v>
      </c>
      <c r="C118" s="497"/>
      <c r="D118" s="497"/>
      <c r="E118" s="513"/>
      <c r="F118" s="499">
        <f>IF($J$11="fld",VLOOKUP(A118,'price sheet'!$A$3:$F$162,4,FALSE),IF($J$11="ret",VLOOKUP(A118,'price sheet'!$A$3:$F$162,6,FALSE),IF($J$11="par",VLOOKUP(A118,'price sheet'!$A$3:$F$162,5,FALSE),VLOOKUP(A118,'price sheet'!$A$3:$F$162,6,FALSE))))</f>
        <v>3.48</v>
      </c>
      <c r="G118" s="500"/>
      <c r="H118" s="501" t="str">
        <f>IF(K118="X","Back Ordered","")</f>
        <v/>
      </c>
      <c r="I118" s="500"/>
      <c r="J118" s="502">
        <f>IF(K118="x",0,IF(F118="n/a","N/A",IF(F118="free","FREE",IF(I118=0,SUM(G118*F118),SUM(I118*F118)))))</f>
        <v>0</v>
      </c>
      <c r="K118" s="503"/>
      <c r="L118" s="504"/>
      <c r="M118" s="504"/>
      <c r="N118" s="505">
        <f t="shared" si="42"/>
        <v>0</v>
      </c>
      <c r="O118" s="505">
        <f t="shared" si="43"/>
        <v>0</v>
      </c>
      <c r="P118" s="505">
        <f t="shared" si="44"/>
        <v>0</v>
      </c>
      <c r="Q118" s="506">
        <f>IF($J$11="fld",IF(K118&gt;0,J118*$G$142,0),SUM(N118:P118))</f>
        <v>0</v>
      </c>
    </row>
    <row r="119" spans="1:18" s="41" customFormat="1" ht="18.75" customHeight="1">
      <c r="A119" s="342"/>
      <c r="B119" s="530" t="s">
        <v>147</v>
      </c>
      <c r="C119" s="531"/>
      <c r="D119" s="531"/>
      <c r="E119" s="532"/>
      <c r="F119" s="343"/>
      <c r="G119" s="361"/>
      <c r="H119" s="361"/>
      <c r="I119" s="361"/>
      <c r="J119" s="374">
        <f>SUM(J120:J125)</f>
        <v>0</v>
      </c>
      <c r="K119" s="199"/>
      <c r="L119" s="189"/>
      <c r="M119" s="189"/>
      <c r="N119" s="184"/>
      <c r="O119" s="184"/>
      <c r="P119" s="184"/>
      <c r="Q119" s="185"/>
    </row>
    <row r="120" spans="1:18" s="507" customFormat="1" ht="12.75" hidden="1" customHeight="1">
      <c r="A120" s="514" t="s">
        <v>502</v>
      </c>
      <c r="B120" s="514" t="s">
        <v>547</v>
      </c>
      <c r="C120" s="512"/>
      <c r="D120" s="508"/>
      <c r="E120" s="513"/>
      <c r="F120" s="499">
        <f>IF($J$11="fld",VLOOKUP(A120,'price sheet'!$A$3:$F$162,4,FALSE),IF($J$11="ret",VLOOKUP(A120,'price sheet'!$A$3:$F$162,6,FALSE),IF($J$11="par",VLOOKUP(A120,'price sheet'!$A$3:$F$162,5,FALSE),VLOOKUP(A120,'price sheet'!$A$3:$F$162,6,FALSE))))</f>
        <v>0.72</v>
      </c>
      <c r="G120" s="500"/>
      <c r="H120" s="501" t="str">
        <f>IF(K120="X","Back Ordered","")</f>
        <v/>
      </c>
      <c r="I120" s="500"/>
      <c r="J120" s="502">
        <f>IF(K120="x",0,IF(F120="n/a","N/A",IF(F120="free","FREE",IF(I120=0,SUM(G120*F120),SUM(I120*F120)))))</f>
        <v>0</v>
      </c>
      <c r="K120" s="503"/>
      <c r="L120" s="504"/>
      <c r="M120" s="504"/>
      <c r="N120" s="505">
        <f t="shared" ref="N120:N124" si="45">IF($J$11="ret",IF(G120&gt;9,J120*15%,0),0)</f>
        <v>0</v>
      </c>
      <c r="O120" s="505">
        <f t="shared" ref="O120:O124" si="46">IF($J$11="ret",IF(G120&gt;49,J120*10%,0),0)</f>
        <v>0</v>
      </c>
      <c r="P120" s="505">
        <f t="shared" ref="P120:P124" si="47">IF($J$11="ret",IF(G120&gt;99,J120*5%,0),0)</f>
        <v>0</v>
      </c>
      <c r="Q120" s="506">
        <f>IF($J$11="fld",IF(K120&gt;0,J120*$G$142,0),SUM(N120:P120))</f>
        <v>0</v>
      </c>
    </row>
    <row r="121" spans="1:18" s="41" customFormat="1" ht="12.75" customHeight="1">
      <c r="A121" s="244" t="s">
        <v>161</v>
      </c>
      <c r="B121" s="244" t="s">
        <v>581</v>
      </c>
      <c r="C121" s="36"/>
      <c r="D121" s="37"/>
      <c r="E121" s="38"/>
      <c r="F121" s="39">
        <f>IF($J$11="fld",VLOOKUP(A121,'price sheet'!$A$3:$F$162,4,FALSE),IF($J$11="ret",VLOOKUP(A121,'price sheet'!$A$3:$F$162,6,FALSE),IF($J$11="par",VLOOKUP(A121,'price sheet'!$A$3:$F$162,5,FALSE),VLOOKUP(A121,'price sheet'!$A$3:$F$162,6,FALSE))))</f>
        <v>3.48</v>
      </c>
      <c r="G121" s="138"/>
      <c r="H121" s="461" t="str">
        <f>IF(K121="X","Back Ordered","")</f>
        <v/>
      </c>
      <c r="I121" s="138"/>
      <c r="J121" s="248">
        <f>IF(K121="x",0,IF(F121="n/a","N/A",IF(F121="free","FREE",IF(I121=0,SUM(G121*F121),SUM(I121*F121)))))</f>
        <v>0</v>
      </c>
      <c r="K121" s="281"/>
      <c r="L121" s="194"/>
      <c r="M121" s="194"/>
      <c r="N121" s="184">
        <f t="shared" si="45"/>
        <v>0</v>
      </c>
      <c r="O121" s="184">
        <f t="shared" si="46"/>
        <v>0</v>
      </c>
      <c r="P121" s="184">
        <f t="shared" si="47"/>
        <v>0</v>
      </c>
      <c r="Q121" s="185">
        <f>IF($J$11="fld",IF(K121&gt;0,J121*$G$142,0),SUM(N121:P121))</f>
        <v>0</v>
      </c>
    </row>
    <row r="122" spans="1:18" s="41" customFormat="1">
      <c r="A122" s="35" t="s">
        <v>243</v>
      </c>
      <c r="B122" s="244" t="s">
        <v>657</v>
      </c>
      <c r="C122" s="36"/>
      <c r="D122" s="37"/>
      <c r="E122" s="38"/>
      <c r="F122" s="39">
        <f>IF($J$11="fld",VLOOKUP(A122,'price sheet'!$A$3:$F$162,4,FALSE),IF($J$11="ret",VLOOKUP(A122,'price sheet'!$A$3:$F$162,6,FALSE),IF($J$11="par",VLOOKUP(A122,'price sheet'!$A$3:$F$162,5,FALSE),VLOOKUP(A122,'price sheet'!$A$3:$F$162,6,FALSE))))</f>
        <v>40</v>
      </c>
      <c r="G122" s="138"/>
      <c r="H122" s="461">
        <v>1</v>
      </c>
      <c r="I122" s="138"/>
      <c r="J122" s="248">
        <f t="shared" ref="J122:J125" si="48">IF(K122="x",0,IF(F122="n/a","N/A",IF(F122="free","FREE",IF(I122=0,SUM(G122*F122),SUM(I122*F122)))))</f>
        <v>0</v>
      </c>
      <c r="K122" s="281"/>
      <c r="L122" s="194"/>
      <c r="M122" s="194"/>
      <c r="N122" s="184">
        <f t="shared" si="45"/>
        <v>0</v>
      </c>
      <c r="O122" s="184">
        <f t="shared" si="46"/>
        <v>0</v>
      </c>
      <c r="P122" s="184">
        <f t="shared" si="47"/>
        <v>0</v>
      </c>
      <c r="Q122" s="185">
        <f>IF($J$11="fld",IF(K122&gt;0,J122*$G$142,0),SUM(N122:P122))</f>
        <v>0</v>
      </c>
    </row>
    <row r="123" spans="1:18" s="41" customFormat="1">
      <c r="A123" s="244" t="s">
        <v>249</v>
      </c>
      <c r="B123" s="244" t="s">
        <v>658</v>
      </c>
      <c r="C123" s="36"/>
      <c r="D123" s="37"/>
      <c r="E123" s="38"/>
      <c r="F123" s="39">
        <f>IF($J$11="fld",VLOOKUP(A123,'price sheet'!$A$3:$F$162,4,FALSE),IF($J$11="ret",VLOOKUP(A123,'price sheet'!$A$3:$F$162,6,FALSE),IF($J$11="par",VLOOKUP(A123,'price sheet'!$A$3:$F$162,5,FALSE),VLOOKUP(A123,'price sheet'!$A$3:$F$162,6,FALSE))))</f>
        <v>40</v>
      </c>
      <c r="G123" s="138"/>
      <c r="H123" s="461"/>
      <c r="I123" s="138"/>
      <c r="J123" s="248">
        <f>IF(K123="x",0,IF(F123="n/a","N/A",IF(F123="free","FREE",IF(I123=0,SUM(G123*F123),SUM(I123*F123)))))</f>
        <v>0</v>
      </c>
      <c r="K123" s="281"/>
      <c r="L123" s="194"/>
      <c r="M123" s="194"/>
      <c r="N123" s="184">
        <f t="shared" si="45"/>
        <v>0</v>
      </c>
      <c r="O123" s="184">
        <f t="shared" si="46"/>
        <v>0</v>
      </c>
      <c r="P123" s="184">
        <f t="shared" si="47"/>
        <v>0</v>
      </c>
      <c r="Q123" s="185">
        <f>IF($J$11="fld",IF(K123&gt;0,J123*$G$142,0),SUM(N123:P123))</f>
        <v>0</v>
      </c>
    </row>
    <row r="124" spans="1:18" s="507" customFormat="1" hidden="1">
      <c r="A124" s="495" t="s">
        <v>148</v>
      </c>
      <c r="B124" s="495" t="s">
        <v>476</v>
      </c>
      <c r="C124" s="512"/>
      <c r="D124" s="508"/>
      <c r="E124" s="513"/>
      <c r="F124" s="499" t="str">
        <f>IF($J$11="fld",VLOOKUP(A124,'price sheet'!$A$3:$F$162,4,FALSE),IF($J$11="ret",VLOOKUP(A124,'price sheet'!$A$3:$F$162,6,FALSE),IF($J$11="par",VLOOKUP(A124,'price sheet'!$A$3:$F$162,5,FALSE),VLOOKUP(A124,'price sheet'!$A$3:$F$162,6,FALSE))))</f>
        <v>FREE</v>
      </c>
      <c r="G124" s="500"/>
      <c r="H124" s="501" t="str">
        <f t="shared" ref="H124:H125" si="49">IF(K124="X","Back Ordered","")</f>
        <v/>
      </c>
      <c r="I124" s="500"/>
      <c r="J124" s="502" t="str">
        <f t="shared" si="48"/>
        <v>FREE</v>
      </c>
      <c r="K124" s="503"/>
      <c r="L124" s="504"/>
      <c r="M124" s="504"/>
      <c r="N124" s="505">
        <f t="shared" si="45"/>
        <v>0</v>
      </c>
      <c r="O124" s="505">
        <f t="shared" si="46"/>
        <v>0</v>
      </c>
      <c r="P124" s="505">
        <f t="shared" si="47"/>
        <v>0</v>
      </c>
      <c r="Q124" s="506">
        <f>IF($J$11="fld",IF(K124&gt;0,J124*$G$142,0),SUM(N124:P124))</f>
        <v>0</v>
      </c>
    </row>
    <row r="125" spans="1:18" s="41" customFormat="1" hidden="1">
      <c r="A125" s="35" t="s">
        <v>494</v>
      </c>
      <c r="B125" s="35" t="s">
        <v>493</v>
      </c>
      <c r="C125" s="36"/>
      <c r="D125" s="37"/>
      <c r="E125" s="38"/>
      <c r="F125" s="39">
        <f>IF($J$11="fld",VLOOKUP(A125,'price sheet'!$A$3:$F$162,4,FALSE),IF($J$11="ret",VLOOKUP(A125,'price sheet'!$A$3:$F$162,6,FALSE),IF($J$11="par",VLOOKUP(A125,'price sheet'!$A$3:$F$162,5,FALSE),VLOOKUP(A125,'price sheet'!$A$3:$F$162,6,FALSE))))</f>
        <v>0</v>
      </c>
      <c r="G125" s="138"/>
      <c r="H125" s="461" t="str">
        <f t="shared" si="49"/>
        <v/>
      </c>
      <c r="I125" s="138"/>
      <c r="J125" s="248">
        <f t="shared" si="48"/>
        <v>0</v>
      </c>
      <c r="K125" s="281"/>
      <c r="L125" s="194"/>
      <c r="M125" s="194"/>
      <c r="N125" s="184">
        <f t="shared" ref="N125" si="50">IF($J$11="ret",IF(G125&gt;9,J125*15%,0),0)</f>
        <v>0</v>
      </c>
      <c r="O125" s="184">
        <f t="shared" ref="O125" si="51">IF($J$11="ret",IF(G125&gt;49,J125*10%,0),0)</f>
        <v>0</v>
      </c>
      <c r="P125" s="184">
        <f t="shared" ref="P125" si="52">IF($J$11="ret",IF(G125&gt;99,J125*5%,0),0)</f>
        <v>0</v>
      </c>
      <c r="Q125" s="185">
        <f>IF($J$11="fld",IF(K125&gt;0,J125*$G$142,0),SUM(N125:P125))</f>
        <v>0</v>
      </c>
    </row>
    <row r="126" spans="1:18" s="66" customFormat="1" ht="15">
      <c r="A126" s="362"/>
      <c r="B126" s="568" t="s">
        <v>195</v>
      </c>
      <c r="C126" s="569"/>
      <c r="D126" s="569"/>
      <c r="E126" s="570"/>
      <c r="F126" s="363"/>
      <c r="G126" s="364"/>
      <c r="H126" s="364"/>
      <c r="I126" s="364"/>
      <c r="J126" s="375">
        <f>SUM(J127:J131)</f>
        <v>0</v>
      </c>
      <c r="K126" s="452"/>
      <c r="L126" s="196"/>
      <c r="M126" s="196"/>
      <c r="N126" s="184"/>
      <c r="O126" s="184"/>
      <c r="P126" s="184"/>
      <c r="Q126" s="185"/>
    </row>
    <row r="127" spans="1:18" s="41" customFormat="1">
      <c r="A127" s="244" t="s">
        <v>159</v>
      </c>
      <c r="B127" s="418" t="s">
        <v>645</v>
      </c>
      <c r="C127" s="419"/>
      <c r="D127" s="419"/>
      <c r="E127" s="420"/>
      <c r="F127" s="39">
        <f>IF($J$11="fld",VLOOKUP(A127,'price sheet'!$A$3:$F$162,4,FALSE),IF($J$11="ret",VLOOKUP(A127,'price sheet'!$A$3:$F$162,6,FALSE),IF($J$11="par",VLOOKUP(A127,'price sheet'!$A$3:$F$162,5,FALSE),VLOOKUP(A127,'price sheet'!$A$3:$F$162,6,FALSE))))</f>
        <v>6</v>
      </c>
      <c r="G127" s="138"/>
      <c r="H127" s="461" t="str">
        <f>IF(K127="X","Back Ordered","")</f>
        <v/>
      </c>
      <c r="I127" s="138"/>
      <c r="J127" s="248">
        <f t="shared" ref="J127:J132" si="53">IF(K127="x",0,IF(F127="n/a","N/A",IF(F127="free","FREE",IF(I127=0,SUM(G127*F127),SUM(I127*F127)))))</f>
        <v>0</v>
      </c>
      <c r="K127" s="281"/>
      <c r="L127" s="194"/>
      <c r="M127" s="194"/>
      <c r="N127" s="184">
        <f t="shared" ref="N127:N133" si="54">IF($J$11="ret",IF(G127&gt;9,J127*15%,0),0)</f>
        <v>0</v>
      </c>
      <c r="O127" s="184">
        <f t="shared" ref="O127:O133" si="55">IF($J$11="ret",IF(G127&gt;49,J127*10%,0),0)</f>
        <v>0</v>
      </c>
      <c r="P127" s="184">
        <f t="shared" ref="P127:P133" si="56">IF($J$11="ret",IF(G127&gt;99,J127*5%,0),0)</f>
        <v>0</v>
      </c>
      <c r="Q127" s="185">
        <f>IF($J$11="fld",IF(K127&gt;0,J127*$G$142,0),SUM(N127:P127))</f>
        <v>0</v>
      </c>
      <c r="R127" s="19"/>
    </row>
    <row r="128" spans="1:18" s="41" customFormat="1">
      <c r="A128" s="244" t="s">
        <v>512</v>
      </c>
      <c r="B128" s="418" t="s">
        <v>662</v>
      </c>
      <c r="C128" s="419"/>
      <c r="D128" s="419"/>
      <c r="E128" s="420"/>
      <c r="F128" s="39">
        <f>IF($J$11="fld",VLOOKUP(A128,'price sheet'!$A$3:$F$162,4,FALSE),IF($J$11="ret",VLOOKUP(A128,'price sheet'!$A$3:$F$162,6,FALSE),IF($J$11="par",VLOOKUP(A128,'price sheet'!$A$3:$F$162,5,FALSE),VLOOKUP(A128,'price sheet'!$A$3:$F$162,6,FALSE))))</f>
        <v>16.002000000000002</v>
      </c>
      <c r="G128" s="138"/>
      <c r="H128" s="461"/>
      <c r="I128" s="138"/>
      <c r="J128" s="248">
        <f t="shared" si="53"/>
        <v>0</v>
      </c>
      <c r="K128" s="281"/>
      <c r="L128" s="194"/>
      <c r="M128" s="194"/>
      <c r="N128" s="184">
        <f t="shared" si="54"/>
        <v>0</v>
      </c>
      <c r="O128" s="184">
        <f t="shared" si="55"/>
        <v>0</v>
      </c>
      <c r="P128" s="184">
        <f t="shared" si="56"/>
        <v>0</v>
      </c>
      <c r="Q128" s="185">
        <f>IF($J$11="fld",IF(K128&gt;0,J128*$G$142,0),SUM(N128:P128))</f>
        <v>0</v>
      </c>
      <c r="R128" s="19"/>
    </row>
    <row r="129" spans="1:18" s="41" customFormat="1">
      <c r="A129" s="247" t="s">
        <v>530</v>
      </c>
      <c r="B129" s="517" t="s">
        <v>664</v>
      </c>
      <c r="C129" s="419"/>
      <c r="D129" s="419"/>
      <c r="E129" s="420"/>
      <c r="F129" s="39">
        <f>IF($J$11="fld",VLOOKUP(A129,'price sheet'!$A$3:$F$162,4,FALSE),IF($J$11="ret",VLOOKUP(A129,'price sheet'!$A$3:$F$162,6,FALSE),IF($J$11="par",VLOOKUP(A129,'price sheet'!$A$3:$F$162,5,FALSE),VLOOKUP(A129,'price sheet'!$A$3:$F$162,6,FALSE))))</f>
        <v>2.34</v>
      </c>
      <c r="G129" s="138"/>
      <c r="H129" s="461"/>
      <c r="I129" s="138"/>
      <c r="J129" s="248">
        <f t="shared" si="53"/>
        <v>0</v>
      </c>
      <c r="K129" s="281"/>
      <c r="L129" s="194"/>
      <c r="M129" s="194"/>
      <c r="N129" s="184">
        <f t="shared" si="54"/>
        <v>0</v>
      </c>
      <c r="O129" s="184">
        <f t="shared" si="55"/>
        <v>0</v>
      </c>
      <c r="P129" s="184">
        <f t="shared" si="56"/>
        <v>0</v>
      </c>
      <c r="Q129" s="185">
        <f>IF($J$11="fld",IF(K129&gt;0,J129*$G$142,0),SUM(N129:P129))</f>
        <v>0</v>
      </c>
      <c r="R129" s="19"/>
    </row>
    <row r="130" spans="1:18" s="41" customFormat="1" hidden="1">
      <c r="A130" s="514" t="s">
        <v>513</v>
      </c>
      <c r="B130" s="516" t="s">
        <v>531</v>
      </c>
      <c r="C130" s="419"/>
      <c r="D130" s="419"/>
      <c r="E130" s="420"/>
      <c r="F130" s="39">
        <f>IF($J$11="fld",VLOOKUP(A130,'price sheet'!$A$3:$F$162,4,FALSE),IF($J$11="ret",VLOOKUP(A130,'price sheet'!$A$3:$F$162,6,FALSE),IF($J$11="par",VLOOKUP(A130,'price sheet'!$A$3:$F$162,5,FALSE),VLOOKUP(A130,'price sheet'!$A$3:$F$162,6,FALSE))))</f>
        <v>1.08</v>
      </c>
      <c r="G130" s="138"/>
      <c r="H130" s="461" t="str">
        <f>IF(K130="X","Back Ordered","")</f>
        <v/>
      </c>
      <c r="I130" s="138"/>
      <c r="J130" s="248">
        <f t="shared" si="53"/>
        <v>0</v>
      </c>
      <c r="K130" s="281"/>
      <c r="L130" s="194"/>
      <c r="M130" s="194"/>
      <c r="N130" s="184">
        <f t="shared" si="54"/>
        <v>0</v>
      </c>
      <c r="O130" s="184">
        <f t="shared" si="55"/>
        <v>0</v>
      </c>
      <c r="P130" s="184">
        <f t="shared" si="56"/>
        <v>0</v>
      </c>
      <c r="Q130" s="185">
        <f>IF($J$11="fld",IF(K130&gt;0,J130*$G$142,0),SUM(N130:P130))</f>
        <v>0</v>
      </c>
      <c r="R130" s="19"/>
    </row>
    <row r="131" spans="1:18" s="41" customFormat="1">
      <c r="A131" s="35" t="s">
        <v>228</v>
      </c>
      <c r="B131" s="418" t="s">
        <v>661</v>
      </c>
      <c r="C131" s="419"/>
      <c r="D131" s="419"/>
      <c r="E131" s="420"/>
      <c r="F131" s="39">
        <f>IF($J$11="fld",VLOOKUP(A131,'price sheet'!$A$3:$F$162,4,FALSE),IF($J$11="ret",VLOOKUP(A131,'price sheet'!$A$3:$F$162,6,FALSE),IF($J$11="par",VLOOKUP(A131,'price sheet'!$A$3:$F$162,5,FALSE),VLOOKUP(A131,'price sheet'!$A$3:$F$162,6,FALSE))))</f>
        <v>13.2</v>
      </c>
      <c r="G131" s="138"/>
      <c r="H131" s="461"/>
      <c r="I131" s="138"/>
      <c r="J131" s="248">
        <f t="shared" si="53"/>
        <v>0</v>
      </c>
      <c r="K131" s="281"/>
      <c r="L131" s="194"/>
      <c r="M131" s="194"/>
      <c r="N131" s="184">
        <f t="shared" si="54"/>
        <v>0</v>
      </c>
      <c r="O131" s="184">
        <f t="shared" si="55"/>
        <v>0</v>
      </c>
      <c r="P131" s="184">
        <f t="shared" si="56"/>
        <v>0</v>
      </c>
      <c r="Q131" s="185">
        <f>IF($J$11="fld",IF(K131&gt;0,J131*$G$142,0),SUM(N131:P131))</f>
        <v>0</v>
      </c>
      <c r="R131" s="19"/>
    </row>
    <row r="132" spans="1:18" s="41" customFormat="1" hidden="1">
      <c r="A132" s="35" t="s">
        <v>212</v>
      </c>
      <c r="B132" s="421" t="s">
        <v>496</v>
      </c>
      <c r="C132" s="419"/>
      <c r="D132" s="419"/>
      <c r="E132" s="420"/>
      <c r="F132" s="39" t="e">
        <f>IF($J$11="fld",VLOOKUP(A132,'price sheet'!$A$3:$F$162,3,FALSE),IF($J$11="ret",VLOOKUP(A132,'price sheet'!$A$3:$F$162,5,FALSE),IF($J$11="afl",VLOOKUP(A132,'price sheet'!$A$3:$F$162,4,FALSE),VLOOKUP(A132,'price sheet'!$A$3:$F$162,3,FALSE))))</f>
        <v>#N/A</v>
      </c>
      <c r="G132" s="138"/>
      <c r="H132" s="461" t="str">
        <f>IF(K132="X","Back Ordered","")</f>
        <v/>
      </c>
      <c r="I132" s="138"/>
      <c r="J132" s="248" t="e">
        <f t="shared" si="53"/>
        <v>#N/A</v>
      </c>
      <c r="K132" s="281"/>
      <c r="L132" s="194"/>
      <c r="M132" s="194"/>
      <c r="N132" s="184">
        <f t="shared" si="54"/>
        <v>0</v>
      </c>
      <c r="O132" s="184">
        <f t="shared" si="55"/>
        <v>0</v>
      </c>
      <c r="P132" s="184">
        <f t="shared" si="56"/>
        <v>0</v>
      </c>
      <c r="Q132" s="185">
        <f>IF($J$11="fld",IF(K132&gt;0,J132*$G$142,0),SUM(N132:P132))</f>
        <v>0</v>
      </c>
      <c r="R132" s="19"/>
    </row>
    <row r="133" spans="1:18" s="41" customFormat="1">
      <c r="A133" s="244" t="s">
        <v>138</v>
      </c>
      <c r="B133" s="418" t="s">
        <v>646</v>
      </c>
      <c r="C133" s="419"/>
      <c r="D133" s="419"/>
      <c r="E133" s="420"/>
      <c r="F133" s="39">
        <f>IF($J$11="fld",VLOOKUP(A133,'price sheet'!$A$3:$F$162,4,FALSE),IF($J$11="ret",VLOOKUP(A133,'price sheet'!$A$3:$F$162,6,FALSE),IF($J$11="par",VLOOKUP(A133,'price sheet'!$A$3:$F$162,5,FALSE),VLOOKUP(A133,'price sheet'!$A$3:$F$162,6,FALSE))))</f>
        <v>4.8</v>
      </c>
      <c r="G133" s="138"/>
      <c r="H133" s="461" t="str">
        <f>IF(K133="X","Back Ordered","")</f>
        <v/>
      </c>
      <c r="I133" s="138"/>
      <c r="J133" s="248">
        <f>IF(K133="x",0,IF(F133="n/a","N/A",IF(F133="free","FREE",IF(I133=0,SUM(G133*F133),SUM(I133*F133)))))</f>
        <v>0</v>
      </c>
      <c r="K133" s="281"/>
      <c r="L133" s="194"/>
      <c r="M133" s="194"/>
      <c r="N133" s="184">
        <f t="shared" si="54"/>
        <v>0</v>
      </c>
      <c r="O133" s="184">
        <f t="shared" si="55"/>
        <v>0</v>
      </c>
      <c r="P133" s="184">
        <f t="shared" si="56"/>
        <v>0</v>
      </c>
      <c r="Q133" s="185">
        <f>IF($J$11="fld",IF(K133&gt;0,J133*$G$142,0),SUM(N133:P133))</f>
        <v>0</v>
      </c>
      <c r="R133" s="19"/>
    </row>
    <row r="134" spans="1:18" s="41" customFormat="1" ht="13.5" thickBot="1">
      <c r="A134" s="68"/>
      <c r="B134" s="69"/>
      <c r="C134" s="69"/>
      <c r="D134" s="69"/>
      <c r="E134" s="292"/>
      <c r="F134" s="288"/>
      <c r="G134" s="241" t="e">
        <f>SUM(G14:G132)-SUM(#REF!)</f>
        <v>#REF!</v>
      </c>
      <c r="H134" s="276"/>
      <c r="I134" s="269"/>
      <c r="J134" s="376">
        <f>J126+J119+J114+J107+J98+J78+J64+J47+J37+J25+J14</f>
        <v>0</v>
      </c>
      <c r="K134" s="199"/>
      <c r="L134" s="189"/>
      <c r="M134" s="189"/>
      <c r="N134" s="184"/>
      <c r="O134" s="184"/>
      <c r="P134" s="184"/>
      <c r="Q134" s="440">
        <f>SUM(Q15:Q133)</f>
        <v>0</v>
      </c>
    </row>
    <row r="135" spans="1:18" s="41" customFormat="1" ht="13.5" thickTop="1">
      <c r="E135" s="293"/>
      <c r="F135" s="479">
        <f>IF(I145="pick up",0,IF(G145&gt;0,IF(I145&lt;&gt;" ",SUM(G145*1.15),0),IF(J143=0,0,IF(J143&lt;=10,D138,IF(J143&lt;=30,D139,IF(J143&lt;=50,D140,K144))))))</f>
        <v>0</v>
      </c>
      <c r="G135" s="275"/>
      <c r="H135" s="275"/>
      <c r="I135" s="275"/>
      <c r="J135" s="275"/>
      <c r="K135" s="203"/>
      <c r="L135" s="189"/>
      <c r="M135" s="189"/>
      <c r="N135" s="194"/>
      <c r="O135" s="194"/>
      <c r="P135" s="194"/>
      <c r="Q135" s="195"/>
    </row>
    <row r="136" spans="1:18" s="41" customFormat="1">
      <c r="A136" s="550" t="s">
        <v>275</v>
      </c>
      <c r="B136" s="551"/>
      <c r="C136" s="551"/>
      <c r="D136" s="552"/>
      <c r="E136" s="293"/>
      <c r="F136" s="480">
        <f>IF(J143&lt;=10,D138,IF(J143&lt;=30,D139,IF(J143&lt;=50,D140,K144)))</f>
        <v>5.95</v>
      </c>
      <c r="G136" s="276"/>
      <c r="H136" s="276"/>
      <c r="I136" s="276"/>
      <c r="J136" s="276"/>
      <c r="K136" s="203"/>
      <c r="L136" s="189"/>
      <c r="M136" s="189"/>
      <c r="N136" s="194"/>
      <c r="O136" s="194"/>
      <c r="P136" s="194"/>
      <c r="Q136" s="195"/>
    </row>
    <row r="137" spans="1:18" s="41" customFormat="1">
      <c r="A137" s="209" t="s">
        <v>435</v>
      </c>
      <c r="B137" s="453"/>
      <c r="C137" s="453"/>
      <c r="D137" s="454"/>
      <c r="E137" s="293"/>
      <c r="F137" s="290"/>
      <c r="G137" s="250"/>
      <c r="H137" s="200"/>
      <c r="I137" s="200"/>
      <c r="J137" s="276"/>
      <c r="K137" s="203"/>
      <c r="L137" s="189"/>
      <c r="M137" s="189"/>
      <c r="N137" s="194"/>
      <c r="O137" s="194"/>
      <c r="P137" s="194"/>
      <c r="Q137" s="195"/>
    </row>
    <row r="138" spans="1:18" s="41" customFormat="1">
      <c r="A138" s="171"/>
      <c r="B138" s="172" t="s">
        <v>434</v>
      </c>
      <c r="C138" s="173" t="s">
        <v>426</v>
      </c>
      <c r="D138" s="174">
        <v>5.95</v>
      </c>
      <c r="E138" s="293"/>
      <c r="F138" s="291"/>
      <c r="G138" s="250" t="s">
        <v>481</v>
      </c>
      <c r="H138" s="200"/>
      <c r="I138" s="200"/>
      <c r="J138" s="276"/>
      <c r="K138" s="203"/>
      <c r="L138" s="251"/>
      <c r="M138" s="251"/>
      <c r="N138" s="251"/>
      <c r="O138" s="251"/>
      <c r="P138" s="194"/>
      <c r="Q138" s="195"/>
    </row>
    <row r="139" spans="1:18" s="41" customFormat="1">
      <c r="A139" s="175"/>
      <c r="B139" s="74" t="s">
        <v>433</v>
      </c>
      <c r="C139" s="455" t="s">
        <v>426</v>
      </c>
      <c r="D139" s="176">
        <v>9.9499999999999993</v>
      </c>
      <c r="E139" s="293"/>
      <c r="F139" s="291"/>
      <c r="G139" s="481">
        <v>43120</v>
      </c>
      <c r="H139" s="482"/>
      <c r="I139" s="482"/>
      <c r="J139" s="282">
        <v>0</v>
      </c>
      <c r="K139" s="203"/>
      <c r="L139" s="251"/>
      <c r="M139" s="443"/>
      <c r="N139" s="251"/>
      <c r="O139" s="251"/>
      <c r="P139" s="194"/>
      <c r="Q139" s="195"/>
    </row>
    <row r="140" spans="1:18" s="41" customFormat="1">
      <c r="A140" s="175"/>
      <c r="B140" s="74" t="s">
        <v>432</v>
      </c>
      <c r="C140" s="455" t="s">
        <v>426</v>
      </c>
      <c r="D140" s="176">
        <v>14.95</v>
      </c>
      <c r="E140" s="293"/>
      <c r="F140" s="290"/>
      <c r="G140" s="481">
        <v>43110</v>
      </c>
      <c r="H140" s="482"/>
      <c r="I140" s="482"/>
      <c r="J140" s="282">
        <f>J134-J139</f>
        <v>0</v>
      </c>
      <c r="K140" s="213" t="s">
        <v>424</v>
      </c>
      <c r="L140" s="251"/>
      <c r="M140" s="443" t="s">
        <v>634</v>
      </c>
      <c r="N140" s="251"/>
      <c r="O140" s="251"/>
      <c r="P140" s="194"/>
      <c r="Q140" s="195"/>
    </row>
    <row r="141" spans="1:18" s="41" customFormat="1">
      <c r="A141" s="171"/>
      <c r="B141" s="172" t="s">
        <v>431</v>
      </c>
      <c r="C141" s="455" t="s">
        <v>426</v>
      </c>
      <c r="D141" s="177">
        <v>17.95</v>
      </c>
      <c r="E141" s="483" t="s">
        <v>22</v>
      </c>
      <c r="F141" s="484"/>
      <c r="G141" s="456" t="s">
        <v>500</v>
      </c>
      <c r="H141" s="485"/>
      <c r="I141" s="485"/>
      <c r="J141" s="283">
        <f>SUM(J139:J140)</f>
        <v>0</v>
      </c>
      <c r="K141" s="213"/>
      <c r="L141" s="251"/>
      <c r="M141" s="443" t="s">
        <v>505</v>
      </c>
      <c r="N141" s="253"/>
      <c r="O141" s="251"/>
      <c r="P141" s="194"/>
      <c r="Q141" s="195"/>
    </row>
    <row r="142" spans="1:18" s="41" customFormat="1">
      <c r="A142" s="168"/>
      <c r="B142" s="169" t="s">
        <v>430</v>
      </c>
      <c r="C142" s="455" t="s">
        <v>426</v>
      </c>
      <c r="D142" s="170">
        <v>21.95</v>
      </c>
      <c r="E142" s="486"/>
      <c r="F142" s="484" t="s">
        <v>486</v>
      </c>
      <c r="G142" s="272"/>
      <c r="H142" s="487"/>
      <c r="I142" s="487" t="str">
        <f>IF(J141=0,"",IF(J142/J141&lt;=0,"",J142/J141))</f>
        <v/>
      </c>
      <c r="J142" s="284">
        <f>IF(G142&gt;0,G142*J141,Q134)</f>
        <v>0</v>
      </c>
      <c r="K142" s="213"/>
      <c r="L142" s="251"/>
      <c r="M142" s="443" t="s">
        <v>499</v>
      </c>
      <c r="N142" s="251"/>
      <c r="O142" s="251"/>
      <c r="P142" s="194"/>
      <c r="Q142" s="195"/>
    </row>
    <row r="143" spans="1:18" s="41" customFormat="1" ht="12.75" customHeight="1">
      <c r="A143" s="457"/>
      <c r="B143" s="169" t="s">
        <v>429</v>
      </c>
      <c r="C143" s="455" t="s">
        <v>426</v>
      </c>
      <c r="D143" s="170">
        <v>25.95</v>
      </c>
      <c r="E143" s="486"/>
      <c r="F143" s="488" t="s">
        <v>184</v>
      </c>
      <c r="G143" s="489" t="str">
        <f>IF(SUM(J139:J140)=J143+J142,"","??")</f>
        <v/>
      </c>
      <c r="H143" s="489"/>
      <c r="I143" s="489"/>
      <c r="J143" s="285">
        <f>SUM(J141-J142)</f>
        <v>0</v>
      </c>
      <c r="K143" s="213"/>
      <c r="L143" s="251"/>
      <c r="M143" s="443" t="s">
        <v>498</v>
      </c>
      <c r="N143" s="251"/>
      <c r="O143" s="251"/>
      <c r="P143" s="194"/>
      <c r="Q143" s="195"/>
    </row>
    <row r="144" spans="1:18" s="41" customFormat="1" ht="12.75" customHeight="1">
      <c r="A144" s="457"/>
      <c r="B144" s="169" t="s">
        <v>428</v>
      </c>
      <c r="C144" s="455" t="s">
        <v>426</v>
      </c>
      <c r="D144" s="170">
        <v>29.95</v>
      </c>
      <c r="E144" s="483"/>
      <c r="F144" s="490" t="s">
        <v>64</v>
      </c>
      <c r="G144" s="456" t="s">
        <v>500</v>
      </c>
      <c r="H144" s="489"/>
      <c r="I144" s="489"/>
      <c r="J144" s="274">
        <f>IF(G145&gt;0,0,IF(F135&gt;0,0,F136))</f>
        <v>5.95</v>
      </c>
      <c r="K144" s="211">
        <f>IF(J143&lt;=70,D141,IF(J143&lt;=100,D142,IF(J143&lt;=200,D143,IF(J143&lt;=300,D144,D145))))</f>
        <v>17.95</v>
      </c>
      <c r="L144" s="251"/>
      <c r="M144" s="443"/>
      <c r="N144" s="251"/>
      <c r="O144" s="251"/>
      <c r="P144" s="194"/>
      <c r="Q144" s="195"/>
    </row>
    <row r="145" spans="1:17" s="41" customFormat="1" ht="12.75" customHeight="1">
      <c r="A145" s="171"/>
      <c r="B145" s="458" t="s">
        <v>427</v>
      </c>
      <c r="C145" s="455" t="s">
        <v>426</v>
      </c>
      <c r="D145" s="170">
        <v>32.950000000000003</v>
      </c>
      <c r="E145" s="491"/>
      <c r="F145" s="484" t="s">
        <v>316</v>
      </c>
      <c r="G145" s="492"/>
      <c r="H145" s="493"/>
      <c r="I145" s="494" t="s">
        <v>505</v>
      </c>
      <c r="J145" s="286">
        <f>IF(OR(I145=" ",I145="pick up"),0,F135)</f>
        <v>0</v>
      </c>
      <c r="K145" s="441"/>
      <c r="L145" s="251"/>
      <c r="M145" s="251"/>
      <c r="N145" s="251"/>
      <c r="O145" s="251"/>
      <c r="P145" s="194"/>
      <c r="Q145" s="195"/>
    </row>
    <row r="146" spans="1:17" s="41" customFormat="1" ht="15.75" customHeight="1">
      <c r="A146" s="578" t="s">
        <v>546</v>
      </c>
      <c r="B146" s="579"/>
      <c r="C146" s="579"/>
      <c r="D146" s="580"/>
      <c r="E146" s="483"/>
      <c r="F146" s="490" t="s">
        <v>413</v>
      </c>
      <c r="G146" s="489"/>
      <c r="H146" s="489"/>
      <c r="I146" s="489"/>
      <c r="J146" s="198" t="s">
        <v>497</v>
      </c>
      <c r="K146" s="222"/>
      <c r="L146" s="252"/>
      <c r="M146" s="252"/>
      <c r="N146" s="251"/>
      <c r="O146" s="251"/>
      <c r="P146" s="194"/>
      <c r="Q146" s="195"/>
    </row>
    <row r="147" spans="1:17" s="41" customFormat="1" ht="17.25" customHeight="1">
      <c r="A147" s="578"/>
      <c r="B147" s="579"/>
      <c r="C147" s="579"/>
      <c r="D147" s="580"/>
      <c r="E147" s="91"/>
      <c r="F147" s="92" t="s">
        <v>86</v>
      </c>
      <c r="G147" s="93"/>
      <c r="H147" s="93"/>
      <c r="I147" s="93"/>
      <c r="J147" s="94">
        <f>SUM(J143+J145)</f>
        <v>0</v>
      </c>
      <c r="K147" s="19"/>
      <c r="L147" s="252"/>
      <c r="M147" s="19"/>
      <c r="N147" s="251"/>
      <c r="O147" s="251"/>
      <c r="P147" s="194"/>
      <c r="Q147" s="195"/>
    </row>
    <row r="148" spans="1:17" s="41" customFormat="1" ht="15.75">
      <c r="A148" s="581"/>
      <c r="B148" s="582"/>
      <c r="C148" s="582"/>
      <c r="D148" s="583"/>
      <c r="E148" s="276"/>
      <c r="F148" s="276"/>
      <c r="G148" s="276"/>
      <c r="H148" s="276"/>
      <c r="I148" s="276"/>
      <c r="J148" s="365" t="str">
        <f>IF(F10="approved",IF(G10&gt;0,"","Get Card Approved"),"")</f>
        <v/>
      </c>
      <c r="K148" s="19"/>
      <c r="L148" s="19"/>
      <c r="M148" s="19"/>
      <c r="O148" s="194"/>
      <c r="P148" s="194"/>
      <c r="Q148" s="195"/>
    </row>
    <row r="149" spans="1:17" s="41" customFormat="1">
      <c r="A149" s="95"/>
      <c r="B149" s="96"/>
      <c r="C149" s="96"/>
      <c r="D149" s="96"/>
      <c r="E149" s="423"/>
      <c r="F149" s="423"/>
      <c r="G149" s="423"/>
      <c r="H149" s="423"/>
      <c r="I149" s="423"/>
      <c r="J149" s="423"/>
      <c r="K149" s="19"/>
      <c r="L149" s="19"/>
      <c r="M149" s="19"/>
      <c r="O149" s="194"/>
      <c r="P149" s="194"/>
      <c r="Q149" s="195"/>
    </row>
    <row r="150" spans="1:17">
      <c r="A150" s="577" t="s">
        <v>659</v>
      </c>
      <c r="B150" s="577"/>
      <c r="C150" s="577"/>
      <c r="D150" s="577"/>
      <c r="E150" s="577"/>
      <c r="F150" s="577"/>
      <c r="G150" s="422"/>
      <c r="H150" s="422"/>
      <c r="I150" s="422"/>
      <c r="J150" s="422"/>
      <c r="K150" s="203"/>
    </row>
    <row r="151" spans="1:17">
      <c r="A151" s="577" t="s">
        <v>616</v>
      </c>
      <c r="B151" s="577"/>
      <c r="C151" s="577"/>
      <c r="D151" s="577"/>
      <c r="E151" s="577"/>
      <c r="F151" s="577"/>
      <c r="G151" s="422"/>
      <c r="H151" s="422"/>
      <c r="I151" s="422"/>
      <c r="J151" s="422"/>
      <c r="K151" s="203"/>
    </row>
    <row r="152" spans="1:17">
      <c r="A152" s="577" t="s">
        <v>545</v>
      </c>
      <c r="B152" s="577"/>
      <c r="C152" s="577"/>
      <c r="D152" s="577"/>
      <c r="E152" s="577"/>
      <c r="F152" s="577"/>
      <c r="G152" s="422"/>
      <c r="H152" s="422"/>
      <c r="I152" s="422"/>
      <c r="J152" s="422"/>
      <c r="K152" s="203"/>
    </row>
    <row r="153" spans="1:17">
      <c r="A153" s="422"/>
      <c r="B153" s="427"/>
      <c r="C153" s="427"/>
      <c r="D153" s="427"/>
      <c r="E153" s="427"/>
      <c r="F153" s="427"/>
      <c r="G153" s="427"/>
      <c r="H153" s="427"/>
      <c r="I153" s="427"/>
      <c r="K153" s="203"/>
    </row>
    <row r="154" spans="1:17" s="19" customFormat="1" ht="12.75" customHeight="1">
      <c r="A154" s="577" t="s">
        <v>143</v>
      </c>
      <c r="B154" s="577"/>
      <c r="C154" s="577"/>
      <c r="D154" s="577"/>
      <c r="E154" s="577"/>
      <c r="F154" s="577"/>
      <c r="G154" s="426"/>
      <c r="H154" s="426"/>
      <c r="I154" s="426"/>
      <c r="J154" s="287"/>
      <c r="K154" s="203"/>
      <c r="L154" s="194"/>
      <c r="M154" s="194"/>
      <c r="N154" s="184"/>
      <c r="O154" s="184"/>
      <c r="P154" s="184"/>
      <c r="Q154" s="185"/>
    </row>
    <row r="155" spans="1:17" s="41" customFormat="1">
      <c r="A155" s="577" t="s">
        <v>655</v>
      </c>
      <c r="B155" s="577"/>
      <c r="C155" s="577"/>
      <c r="D155" s="577"/>
      <c r="E155" s="577"/>
      <c r="F155" s="577"/>
      <c r="G155" s="426"/>
      <c r="H155" s="426"/>
      <c r="I155" s="426"/>
      <c r="J155" s="287"/>
      <c r="K155" s="203"/>
      <c r="L155" s="194"/>
      <c r="M155" s="194"/>
      <c r="N155" s="194"/>
      <c r="O155" s="194"/>
      <c r="P155" s="194"/>
      <c r="Q155" s="195"/>
    </row>
    <row r="156" spans="1:17" s="41" customFormat="1">
      <c r="A156" s="426"/>
      <c r="B156" s="426"/>
      <c r="C156" s="426"/>
      <c r="D156" s="426"/>
      <c r="E156" s="426"/>
      <c r="F156" s="426"/>
      <c r="G156" s="426"/>
      <c r="H156" s="426"/>
      <c r="I156" s="426"/>
      <c r="J156" s="287"/>
      <c r="K156" s="281"/>
      <c r="L156" s="194"/>
      <c r="M156" s="194"/>
      <c r="N156" s="194"/>
      <c r="O156" s="194"/>
      <c r="P156" s="194"/>
      <c r="Q156" s="195"/>
    </row>
    <row r="157" spans="1:17" s="41" customFormat="1">
      <c r="B157" s="422"/>
      <c r="C157" s="422"/>
      <c r="D157" s="422"/>
      <c r="E157" s="422"/>
      <c r="F157" s="422"/>
      <c r="G157" s="422"/>
      <c r="H157" s="422"/>
      <c r="I157" s="422"/>
      <c r="J157" s="422"/>
      <c r="K157" s="281"/>
      <c r="L157" s="194"/>
      <c r="M157" s="194"/>
      <c r="N157" s="194"/>
      <c r="O157" s="194"/>
      <c r="P157" s="194"/>
      <c r="Q157" s="195"/>
    </row>
  </sheetData>
  <sheetProtection algorithmName="SHA-512" hashValue="M5FbDeGqZd/EW864Xj8SDjw5t0Be0Uo8u4lwOaj7icu4mzoEQOQWmpeoC/c0pE7wIDFVPpY0ErBdRpxjPVflZg==" saltValue="2GmmIa+Dnwdepm4LSNoFBg==" spinCount="100000" sheet="1" objects="1" scenarios="1"/>
  <mergeCells count="33">
    <mergeCell ref="A154:F154"/>
    <mergeCell ref="A155:F155"/>
    <mergeCell ref="A146:D148"/>
    <mergeCell ref="A150:F150"/>
    <mergeCell ref="A151:F151"/>
    <mergeCell ref="A152:F152"/>
    <mergeCell ref="A136:D136"/>
    <mergeCell ref="B14:E14"/>
    <mergeCell ref="B47:E47"/>
    <mergeCell ref="B25:E25"/>
    <mergeCell ref="B37:E37"/>
    <mergeCell ref="B64:E64"/>
    <mergeCell ref="B119:E119"/>
    <mergeCell ref="B126:E126"/>
    <mergeCell ref="B78:E78"/>
    <mergeCell ref="B98:E98"/>
    <mergeCell ref="A1:J1"/>
    <mergeCell ref="A2:J2"/>
    <mergeCell ref="C4:E4"/>
    <mergeCell ref="C7:E7"/>
    <mergeCell ref="A3:J3"/>
    <mergeCell ref="B5:E5"/>
    <mergeCell ref="G5:J5"/>
    <mergeCell ref="F7:G7"/>
    <mergeCell ref="G6:J6"/>
    <mergeCell ref="G11:I11"/>
    <mergeCell ref="G9:J9"/>
    <mergeCell ref="G8:J8"/>
    <mergeCell ref="B114:E114"/>
    <mergeCell ref="B107:E107"/>
    <mergeCell ref="B8:E8"/>
    <mergeCell ref="B9:E9"/>
    <mergeCell ref="B10:E10"/>
  </mergeCells>
  <phoneticPr fontId="14" type="noConversion"/>
  <conditionalFormatting sqref="F10">
    <cfRule type="expression" dxfId="2" priority="1">
      <formula>$G$9&gt;0</formula>
    </cfRule>
  </conditionalFormatting>
  <dataValidations count="1">
    <dataValidation type="list" allowBlank="1" showInputMessage="1" showErrorMessage="1" sqref="I145" xr:uid="{00000000-0002-0000-0000-000000000000}">
      <formula1>carriers</formula1>
    </dataValidation>
  </dataValidations>
  <pageMargins left="0.75" right="0.75" top="1" bottom="1" header="0.5" footer="0.5"/>
  <pageSetup scale="62" orientation="portrait" r:id="rId1"/>
  <headerFooter alignWithMargins="0">
    <oddFooter>&amp;Z&amp;F</oddFooter>
  </headerFooter>
  <rowBreaks count="1" manualBreakCount="1"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9"/>
  <sheetViews>
    <sheetView view="pageBreakPreview" zoomScale="120" zoomScaleNormal="100" zoomScaleSheetLayoutView="120" workbookViewId="0">
      <pane ySplit="13" topLeftCell="A31" activePane="bottomLeft" state="frozen"/>
      <selection pane="bottomLeft" activeCell="B84" sqref="B84"/>
    </sheetView>
  </sheetViews>
  <sheetFormatPr defaultColWidth="9.140625" defaultRowHeight="12.75"/>
  <cols>
    <col min="1" max="1" width="9" style="9" customWidth="1"/>
    <col min="2" max="2" width="10.42578125" style="9" customWidth="1"/>
    <col min="3" max="3" width="9.85546875" style="9" customWidth="1"/>
    <col min="4" max="4" width="16.42578125" style="9" customWidth="1"/>
    <col min="5" max="5" width="27.140625" style="9" customWidth="1"/>
    <col min="6" max="6" width="11.7109375" style="9" customWidth="1"/>
    <col min="7" max="7" width="10.5703125" style="9" customWidth="1"/>
    <col min="8" max="8" width="0.5703125" style="9" customWidth="1"/>
    <col min="9" max="9" width="12.85546875" style="9" customWidth="1"/>
    <col min="10" max="10" width="16" style="276" customWidth="1"/>
    <col min="11" max="11" width="6.140625" style="199" customWidth="1"/>
    <col min="12" max="13" width="9.140625" style="189"/>
    <col min="14" max="14" width="10.5703125" style="189" customWidth="1"/>
    <col min="15" max="16" width="9.140625" style="189"/>
    <col min="17" max="17" width="9.140625" style="190"/>
    <col min="18" max="16384" width="9.140625" style="9"/>
  </cols>
  <sheetData>
    <row r="1" spans="1:18" s="16" customFormat="1" ht="12" customHeight="1">
      <c r="A1" s="537" t="s">
        <v>516</v>
      </c>
      <c r="B1" s="537"/>
      <c r="C1" s="537"/>
      <c r="D1" s="537"/>
      <c r="E1" s="537"/>
      <c r="F1" s="537"/>
      <c r="G1" s="537"/>
      <c r="H1" s="537"/>
      <c r="I1" s="537"/>
      <c r="J1" s="537"/>
      <c r="K1" s="204"/>
      <c r="L1" s="186"/>
      <c r="M1" s="186"/>
      <c r="N1" s="186"/>
      <c r="O1" s="186"/>
      <c r="P1" s="186"/>
      <c r="Q1" s="187"/>
    </row>
    <row r="2" spans="1:18" s="16" customFormat="1" ht="12" customHeight="1">
      <c r="A2" s="538" t="str">
        <f>IF(J11="fld","Staff Price List/Order Form",IF(J11="par","Ministry Partner Price List/Order Form","Retail Price List/Order Form"))</f>
        <v>Retail Price List/Order Form</v>
      </c>
      <c r="B2" s="539"/>
      <c r="C2" s="539"/>
      <c r="D2" s="539"/>
      <c r="E2" s="539"/>
      <c r="F2" s="539"/>
      <c r="G2" s="539"/>
      <c r="H2" s="539"/>
      <c r="I2" s="539"/>
      <c r="J2" s="539"/>
      <c r="K2" s="205"/>
      <c r="L2" s="188"/>
      <c r="M2" s="188"/>
      <c r="N2" s="186"/>
      <c r="O2" s="186"/>
      <c r="P2" s="186"/>
      <c r="Q2" s="187"/>
    </row>
    <row r="3" spans="1:18" s="16" customFormat="1" ht="12" customHeight="1">
      <c r="A3" s="543" t="s">
        <v>515</v>
      </c>
      <c r="B3" s="543"/>
      <c r="C3" s="543"/>
      <c r="D3" s="543"/>
      <c r="E3" s="543"/>
      <c r="F3" s="543"/>
      <c r="G3" s="543"/>
      <c r="H3" s="543"/>
      <c r="I3" s="543"/>
      <c r="J3" s="543"/>
      <c r="K3" s="205"/>
      <c r="L3" s="188"/>
      <c r="M3" s="188"/>
      <c r="N3" s="186"/>
      <c r="O3" s="186"/>
      <c r="P3" s="186"/>
      <c r="Q3" s="187"/>
    </row>
    <row r="4" spans="1:18" ht="12" customHeight="1">
      <c r="A4" s="157" t="s">
        <v>324</v>
      </c>
      <c r="B4" s="56"/>
      <c r="C4" s="540"/>
      <c r="D4" s="541"/>
      <c r="E4" s="541"/>
      <c r="F4" s="17"/>
      <c r="H4" s="156"/>
      <c r="I4" s="156" t="s">
        <v>417</v>
      </c>
      <c r="J4" s="165"/>
      <c r="K4" s="205"/>
      <c r="L4" s="188"/>
      <c r="M4" s="188"/>
    </row>
    <row r="5" spans="1:18" s="19" customFormat="1" ht="12" customHeight="1">
      <c r="A5" s="158" t="s">
        <v>326</v>
      </c>
      <c r="B5" s="524"/>
      <c r="C5" s="533"/>
      <c r="D5" s="533"/>
      <c r="E5" s="534"/>
      <c r="F5" s="156" t="s">
        <v>421</v>
      </c>
      <c r="G5" s="544"/>
      <c r="H5" s="525"/>
      <c r="I5" s="525"/>
      <c r="J5" s="526"/>
      <c r="K5" s="205"/>
      <c r="L5" s="188"/>
      <c r="M5" s="192"/>
      <c r="N5" s="184"/>
      <c r="O5" s="184"/>
      <c r="P5" s="184"/>
      <c r="Q5" s="185"/>
    </row>
    <row r="6" spans="1:18" s="19" customFormat="1" ht="12" customHeight="1">
      <c r="A6" s="158" t="s">
        <v>422</v>
      </c>
      <c r="B6" s="159"/>
      <c r="C6" s="19" t="s">
        <v>423</v>
      </c>
      <c r="D6" s="159"/>
      <c r="F6" s="156" t="s">
        <v>325</v>
      </c>
      <c r="G6" s="547"/>
      <c r="H6" s="548"/>
      <c r="I6" s="548"/>
      <c r="J6" s="549"/>
      <c r="K6" s="205"/>
      <c r="L6" s="188"/>
      <c r="M6" s="192"/>
      <c r="N6" s="184"/>
      <c r="O6" s="184"/>
      <c r="P6" s="184"/>
      <c r="Q6" s="185"/>
    </row>
    <row r="7" spans="1:18" s="16" customFormat="1" ht="12" customHeight="1">
      <c r="A7" s="14" t="s">
        <v>327</v>
      </c>
      <c r="B7" s="164"/>
      <c r="C7" s="542"/>
      <c r="D7" s="541"/>
      <c r="E7" s="541"/>
      <c r="F7" s="545" t="str">
        <f>IF(G9&lt;5799,"",IF(G9&lt;5905,"CHECK ON BALANCE!",""))</f>
        <v/>
      </c>
      <c r="G7" s="546"/>
      <c r="H7" s="156"/>
      <c r="I7" s="156" t="s">
        <v>418</v>
      </c>
      <c r="J7" s="277"/>
      <c r="K7" s="205"/>
      <c r="L7" s="188"/>
      <c r="M7" s="191"/>
      <c r="N7" s="186"/>
      <c r="O7" s="186"/>
      <c r="P7" s="186"/>
      <c r="Q7" s="187"/>
    </row>
    <row r="8" spans="1:18" s="19" customFormat="1" ht="12" customHeight="1">
      <c r="A8" s="14" t="s">
        <v>23</v>
      </c>
      <c r="B8" s="524"/>
      <c r="C8" s="533"/>
      <c r="D8" s="533"/>
      <c r="E8" s="534"/>
      <c r="F8" s="156" t="str">
        <f>IF($J$11="fld","Shipped to:","Paid by:")</f>
        <v>Paid by:</v>
      </c>
      <c r="G8" s="524"/>
      <c r="H8" s="525"/>
      <c r="I8" s="525"/>
      <c r="J8" s="526"/>
      <c r="K8" s="205"/>
      <c r="L8" s="188"/>
      <c r="M8" s="192"/>
      <c r="N8" s="184"/>
      <c r="O8" s="184"/>
      <c r="P8" s="184"/>
      <c r="Q8" s="185"/>
    </row>
    <row r="9" spans="1:18" s="19" customFormat="1" ht="12" customHeight="1">
      <c r="A9" s="14" t="s">
        <v>23</v>
      </c>
      <c r="B9" s="524"/>
      <c r="C9" s="533"/>
      <c r="D9" s="533"/>
      <c r="E9" s="534"/>
      <c r="F9" s="156" t="s">
        <v>420</v>
      </c>
      <c r="G9" s="521"/>
      <c r="H9" s="522"/>
      <c r="I9" s="522"/>
      <c r="J9" s="523"/>
      <c r="K9" s="214"/>
      <c r="L9" s="191"/>
      <c r="M9" s="191"/>
      <c r="N9" s="184"/>
      <c r="O9" s="184"/>
      <c r="P9" s="184"/>
      <c r="Q9" s="185"/>
    </row>
    <row r="10" spans="1:18" s="19" customFormat="1" ht="12" customHeight="1">
      <c r="A10" s="14" t="s">
        <v>25</v>
      </c>
      <c r="B10" s="524"/>
      <c r="C10" s="535"/>
      <c r="D10" s="535"/>
      <c r="E10" s="536"/>
      <c r="F10" s="259" t="str">
        <f>IF(G9&gt;0,"Approved","")</f>
        <v/>
      </c>
      <c r="G10" s="167"/>
      <c r="H10" s="425"/>
      <c r="I10" s="424" t="s">
        <v>419</v>
      </c>
      <c r="J10" s="278"/>
      <c r="K10" s="214"/>
      <c r="L10" s="188"/>
      <c r="M10" s="191"/>
      <c r="N10" s="184"/>
      <c r="O10" s="184"/>
      <c r="P10" s="184"/>
      <c r="Q10" s="185"/>
    </row>
    <row r="11" spans="1:18" s="19" customFormat="1" ht="12" customHeight="1">
      <c r="A11" s="14" t="s">
        <v>24</v>
      </c>
      <c r="B11" s="159"/>
      <c r="C11" s="14" t="s">
        <v>26</v>
      </c>
      <c r="D11" s="210"/>
      <c r="E11" s="156" t="s">
        <v>416</v>
      </c>
      <c r="F11" s="167" t="s">
        <v>627</v>
      </c>
      <c r="G11" s="518" t="s">
        <v>282</v>
      </c>
      <c r="H11" s="519"/>
      <c r="I11" s="520"/>
      <c r="J11" s="160" t="s">
        <v>552</v>
      </c>
      <c r="K11" s="214"/>
      <c r="L11" s="188"/>
      <c r="M11" s="191"/>
      <c r="N11" s="184"/>
      <c r="O11" s="184"/>
      <c r="P11" s="184"/>
      <c r="Q11" s="185"/>
    </row>
    <row r="12" spans="1:18" s="237" customFormat="1" ht="12" customHeight="1">
      <c r="A12" s="257" t="s">
        <v>529</v>
      </c>
      <c r="B12" s="258"/>
      <c r="C12" s="256"/>
      <c r="D12" s="159"/>
      <c r="E12" s="228"/>
      <c r="F12" s="446"/>
      <c r="G12" s="229"/>
      <c r="H12" s="230"/>
      <c r="I12" s="231"/>
      <c r="J12" s="206" t="s">
        <v>653</v>
      </c>
      <c r="K12" s="232"/>
      <c r="L12" s="233"/>
      <c r="M12" s="234"/>
      <c r="N12" s="235"/>
      <c r="O12" s="235"/>
      <c r="P12" s="235"/>
      <c r="Q12" s="236"/>
    </row>
    <row r="13" spans="1:18" s="19" customFormat="1" ht="12" customHeight="1">
      <c r="A13" s="161" t="s">
        <v>65</v>
      </c>
      <c r="B13" s="162"/>
      <c r="C13" s="162"/>
      <c r="D13" s="162"/>
      <c r="E13" s="162"/>
      <c r="F13" s="158" t="s">
        <v>507</v>
      </c>
      <c r="G13" s="225" t="s">
        <v>225</v>
      </c>
      <c r="H13" s="163"/>
      <c r="I13" s="225" t="s">
        <v>484</v>
      </c>
      <c r="J13" s="206" t="s">
        <v>22</v>
      </c>
      <c r="K13" s="214"/>
      <c r="L13" s="188"/>
      <c r="M13" s="191"/>
      <c r="N13" s="184"/>
      <c r="O13" s="184"/>
      <c r="P13" s="184"/>
      <c r="Q13" s="185"/>
    </row>
    <row r="14" spans="1:18" s="33" customFormat="1" ht="30" customHeight="1">
      <c r="A14" s="334"/>
      <c r="B14" s="553" t="s">
        <v>640</v>
      </c>
      <c r="C14" s="554"/>
      <c r="D14" s="554"/>
      <c r="E14" s="555"/>
      <c r="F14" s="335"/>
      <c r="G14" s="460"/>
      <c r="H14" s="460"/>
      <c r="I14" s="460"/>
      <c r="J14" s="366">
        <f>SUM(J15:J24)</f>
        <v>0</v>
      </c>
      <c r="K14" s="207"/>
      <c r="L14" s="193"/>
      <c r="M14" s="193"/>
      <c r="N14" s="182">
        <v>0.15</v>
      </c>
      <c r="O14" s="182">
        <v>0.25</v>
      </c>
      <c r="P14" s="182">
        <v>0.3</v>
      </c>
      <c r="Q14" s="183" t="s">
        <v>22</v>
      </c>
      <c r="R14" s="180"/>
    </row>
    <row r="15" spans="1:18" s="19" customFormat="1" ht="12" customHeight="1">
      <c r="A15" s="35" t="s">
        <v>0</v>
      </c>
      <c r="B15" s="36" t="s">
        <v>1</v>
      </c>
      <c r="C15" s="37"/>
      <c r="D15" s="37"/>
      <c r="E15" s="20"/>
      <c r="F15" s="39" t="str">
        <f>IF($J$11="fld",VLOOKUP(A15,'price sheet'!$A$3:$F$162,4,FALSE),IF($J$11="ret",VLOOKUP(A15,'price sheet'!$A$3:$F$162,6,FALSE),IF($J$11="par",VLOOKUP(A15,'price sheet'!$A$3:$F$162,5,FALSE),VLOOKUP(A15,'price sheet'!$A$3:$F$162,6,FALSE))))</f>
        <v>FREE</v>
      </c>
      <c r="G15" s="138"/>
      <c r="H15" s="461" t="str">
        <f t="shared" ref="H15:H24" si="0">IF(K15="X","Back Ordered","")</f>
        <v/>
      </c>
      <c r="I15" s="138"/>
      <c r="J15" s="248" t="str">
        <f t="shared" ref="J15:J24" si="1">IF(K15="x",0,IF(F15="n/a","N/A",IF(F15="free","FREE",IF(I15=0,SUM(G15*F15),SUM(I15*F15)))))</f>
        <v>FREE</v>
      </c>
      <c r="K15" s="281"/>
      <c r="L15" s="194"/>
      <c r="M15" s="194"/>
      <c r="N15" s="184">
        <f>IF($J$11="ret",IF(G15&gt;9,J15*15%,0),0)</f>
        <v>0</v>
      </c>
      <c r="O15" s="184">
        <f>IF($J$11="ret",IF(G15&gt;49,J15*10%,0),0)</f>
        <v>0</v>
      </c>
      <c r="P15" s="184">
        <f>IF($J$11="ret",IF(G15&gt;99,J15*5%,0),0)</f>
        <v>0</v>
      </c>
      <c r="Q15" s="185">
        <f>IF($J$11="fld",IF(K15&gt;0,J15*$G$124,0),SUM(N15:P15))</f>
        <v>0</v>
      </c>
      <c r="R15" s="181"/>
    </row>
    <row r="16" spans="1:18" s="19" customFormat="1" ht="12" customHeight="1">
      <c r="A16" s="35" t="s">
        <v>2</v>
      </c>
      <c r="B16" s="36" t="s">
        <v>3</v>
      </c>
      <c r="C16" s="37"/>
      <c r="D16" s="37"/>
      <c r="E16" s="20"/>
      <c r="F16" s="39" t="str">
        <f>IF($J$11="fld",VLOOKUP(A16,'price sheet'!$A$3:$F$162,4,FALSE),IF($J$11="ret",VLOOKUP(A16,'price sheet'!$A$3:$F$162,6,FALSE),IF($J$11="par",VLOOKUP(A16,'price sheet'!$A$3:$F$162,5,FALSE),VLOOKUP(A16,'price sheet'!$A$3:$F$162,6,FALSE))))</f>
        <v>FREE</v>
      </c>
      <c r="G16" s="138"/>
      <c r="H16" s="461" t="str">
        <f t="shared" si="0"/>
        <v/>
      </c>
      <c r="I16" s="138"/>
      <c r="J16" s="248" t="str">
        <f t="shared" si="1"/>
        <v>FREE</v>
      </c>
      <c r="K16" s="281"/>
      <c r="L16" s="194"/>
      <c r="M16" s="194"/>
      <c r="N16" s="184">
        <f t="shared" ref="N16:N24" si="2">IF($J$11="ret",IF(G16&gt;9,J16*15%,0),0)</f>
        <v>0</v>
      </c>
      <c r="O16" s="184">
        <f t="shared" ref="O16:O24" si="3">IF($J$11="ret",IF(G16&gt;49,J16*10%,0),0)</f>
        <v>0</v>
      </c>
      <c r="P16" s="184">
        <f t="shared" ref="P16:P24" si="4">IF($J$11="ret",IF(G16&gt;99,J16*5%,0),0)</f>
        <v>0</v>
      </c>
      <c r="Q16" s="185">
        <f>IF($J$11="fld",IF(K16&gt;0,J16*$G$124,0),SUM(N16:P16))</f>
        <v>0</v>
      </c>
    </row>
    <row r="17" spans="1:17" s="41" customFormat="1" ht="12" customHeight="1">
      <c r="A17" s="35" t="s">
        <v>4</v>
      </c>
      <c r="B17" s="36" t="s">
        <v>5</v>
      </c>
      <c r="C17" s="37"/>
      <c r="D17" s="37"/>
      <c r="E17" s="38"/>
      <c r="F17" s="39" t="str">
        <f>IF($J$11="fld",VLOOKUP(A17,'price sheet'!$A$3:$F$162,4,FALSE),IF($J$11="ret",VLOOKUP(A17,'price sheet'!$A$3:$F$162,6,FALSE),IF($J$11="par",VLOOKUP(A17,'price sheet'!$A$3:$F$162,5,FALSE),VLOOKUP(A17,'price sheet'!$A$3:$F$162,6,FALSE))))</f>
        <v>FREE</v>
      </c>
      <c r="G17" s="138"/>
      <c r="H17" s="461" t="str">
        <f t="shared" si="0"/>
        <v/>
      </c>
      <c r="I17" s="138"/>
      <c r="J17" s="248" t="str">
        <f t="shared" si="1"/>
        <v>FREE</v>
      </c>
      <c r="K17" s="281"/>
      <c r="L17" s="194"/>
      <c r="M17" s="194"/>
      <c r="N17" s="184">
        <f t="shared" si="2"/>
        <v>0</v>
      </c>
      <c r="O17" s="184">
        <f t="shared" si="3"/>
        <v>0</v>
      </c>
      <c r="P17" s="184">
        <f t="shared" si="4"/>
        <v>0</v>
      </c>
      <c r="Q17" s="185">
        <f>IF($J$11="fld",IF(K17&gt;0,J17*$G$124,0),SUM(N17:P17))</f>
        <v>0</v>
      </c>
    </row>
    <row r="18" spans="1:17" s="41" customFormat="1" ht="12" customHeight="1">
      <c r="A18" s="35" t="s">
        <v>6</v>
      </c>
      <c r="B18" s="36" t="s">
        <v>7</v>
      </c>
      <c r="C18" s="37"/>
      <c r="D18" s="37"/>
      <c r="E18" s="38"/>
      <c r="F18" s="39" t="str">
        <f>IF($J$11="fld",VLOOKUP(A18,'price sheet'!$A$3:$F$162,4,FALSE),IF($J$11="ret",VLOOKUP(A18,'price sheet'!$A$3:$F$162,6,FALSE),IF($J$11="par",VLOOKUP(A18,'price sheet'!$A$3:$F$162,5,FALSE),VLOOKUP(A18,'price sheet'!$A$3:$F$162,6,FALSE))))</f>
        <v>FREE</v>
      </c>
      <c r="G18" s="138"/>
      <c r="H18" s="461" t="str">
        <f t="shared" si="0"/>
        <v/>
      </c>
      <c r="I18" s="138"/>
      <c r="J18" s="248" t="str">
        <f t="shared" si="1"/>
        <v>FREE</v>
      </c>
      <c r="K18" s="281"/>
      <c r="L18" s="194"/>
      <c r="M18" s="194"/>
      <c r="N18" s="184">
        <f t="shared" si="2"/>
        <v>0</v>
      </c>
      <c r="O18" s="184">
        <f t="shared" si="3"/>
        <v>0</v>
      </c>
      <c r="P18" s="184">
        <f t="shared" si="4"/>
        <v>0</v>
      </c>
      <c r="Q18" s="185">
        <f>IF($J$11="fld",IF(K18&gt;0,J18*$G$124,0),SUM(N18:P18))</f>
        <v>0</v>
      </c>
    </row>
    <row r="19" spans="1:17" s="41" customFormat="1" ht="12" customHeight="1">
      <c r="A19" s="35" t="s">
        <v>8</v>
      </c>
      <c r="B19" s="36" t="s">
        <v>9</v>
      </c>
      <c r="C19" s="37"/>
      <c r="D19" s="37"/>
      <c r="E19" s="38"/>
      <c r="F19" s="39" t="str">
        <f>IF($J$11="fld",VLOOKUP(A19,'price sheet'!$A$3:$F$162,4,FALSE),IF($J$11="ret",VLOOKUP(A19,'price sheet'!$A$3:$F$162,6,FALSE),IF($J$11="par",VLOOKUP(A19,'price sheet'!$A$3:$F$162,5,FALSE),VLOOKUP(A19,'price sheet'!$A$3:$F$162,6,FALSE))))</f>
        <v>FREE</v>
      </c>
      <c r="G19" s="138"/>
      <c r="H19" s="461" t="str">
        <f t="shared" si="0"/>
        <v/>
      </c>
      <c r="I19" s="138"/>
      <c r="J19" s="248" t="str">
        <f t="shared" si="1"/>
        <v>FREE</v>
      </c>
      <c r="K19" s="281"/>
      <c r="L19" s="194"/>
      <c r="M19" s="194"/>
      <c r="N19" s="184">
        <f t="shared" si="2"/>
        <v>0</v>
      </c>
      <c r="O19" s="184">
        <f t="shared" si="3"/>
        <v>0</v>
      </c>
      <c r="P19" s="184">
        <f t="shared" si="4"/>
        <v>0</v>
      </c>
      <c r="Q19" s="185">
        <f>IF($J$11="fld",IF(K19&gt;0,J19*$G$124,0),SUM(N19:P19))</f>
        <v>0</v>
      </c>
    </row>
    <row r="20" spans="1:17" s="41" customFormat="1" ht="12" customHeight="1">
      <c r="A20" s="35" t="s">
        <v>10</v>
      </c>
      <c r="B20" s="36" t="s">
        <v>11</v>
      </c>
      <c r="C20" s="37"/>
      <c r="D20" s="37"/>
      <c r="E20" s="38"/>
      <c r="F20" s="39" t="str">
        <f>IF($J$11="fld",VLOOKUP(A20,'price sheet'!$A$3:$F$162,4,FALSE),IF($J$11="ret",VLOOKUP(A20,'price sheet'!$A$3:$F$162,6,FALSE),IF($J$11="par",VLOOKUP(A20,'price sheet'!$A$3:$F$162,5,FALSE),VLOOKUP(A20,'price sheet'!$A$3:$F$162,6,FALSE))))</f>
        <v>FREE</v>
      </c>
      <c r="G20" s="138"/>
      <c r="H20" s="461" t="str">
        <f t="shared" si="0"/>
        <v/>
      </c>
      <c r="I20" s="138"/>
      <c r="J20" s="248" t="str">
        <f t="shared" si="1"/>
        <v>FREE</v>
      </c>
      <c r="K20" s="281"/>
      <c r="L20" s="194"/>
      <c r="M20" s="194"/>
      <c r="N20" s="184">
        <f t="shared" si="2"/>
        <v>0</v>
      </c>
      <c r="O20" s="184">
        <f t="shared" si="3"/>
        <v>0</v>
      </c>
      <c r="P20" s="184">
        <f t="shared" si="4"/>
        <v>0</v>
      </c>
      <c r="Q20" s="185">
        <f>IF($J$11="fld",IF(K20&gt;0,J20*$G$124,0),SUM(N20:P20))</f>
        <v>0</v>
      </c>
    </row>
    <row r="21" spans="1:17" s="41" customFormat="1" ht="12" customHeight="1">
      <c r="A21" s="35" t="s">
        <v>12</v>
      </c>
      <c r="B21" s="36" t="s">
        <v>13</v>
      </c>
      <c r="C21" s="37"/>
      <c r="D21" s="37"/>
      <c r="E21" s="38"/>
      <c r="F21" s="39" t="str">
        <f>IF($J$11="fld",VLOOKUP(A21,'price sheet'!$A$3:$F$162,4,FALSE),IF($J$11="ret",VLOOKUP(A21,'price sheet'!$A$3:$F$162,6,FALSE),IF($J$11="par",VLOOKUP(A21,'price sheet'!$A$3:$F$162,5,FALSE),VLOOKUP(A21,'price sheet'!$A$3:$F$162,6,FALSE))))</f>
        <v>FREE</v>
      </c>
      <c r="G21" s="138"/>
      <c r="H21" s="461" t="str">
        <f t="shared" si="0"/>
        <v/>
      </c>
      <c r="I21" s="138"/>
      <c r="J21" s="248" t="str">
        <f t="shared" si="1"/>
        <v>FREE</v>
      </c>
      <c r="K21" s="281"/>
      <c r="L21" s="194"/>
      <c r="M21" s="194"/>
      <c r="N21" s="184">
        <f t="shared" si="2"/>
        <v>0</v>
      </c>
      <c r="O21" s="184">
        <f t="shared" si="3"/>
        <v>0</v>
      </c>
      <c r="P21" s="184">
        <f t="shared" si="4"/>
        <v>0</v>
      </c>
      <c r="Q21" s="185">
        <f>IF($J$11="fld",IF(K21&gt;0,J21*$G$124,0),SUM(N21:P21))</f>
        <v>0</v>
      </c>
    </row>
    <row r="22" spans="1:17" s="41" customFormat="1" ht="12" customHeight="1">
      <c r="A22" s="35" t="s">
        <v>14</v>
      </c>
      <c r="B22" s="36" t="s">
        <v>15</v>
      </c>
      <c r="C22" s="37"/>
      <c r="D22" s="37"/>
      <c r="E22" s="38"/>
      <c r="F22" s="39" t="str">
        <f>IF($J$11="fld",VLOOKUP(A22,'price sheet'!$A$3:$F$162,4,FALSE),IF($J$11="ret",VLOOKUP(A22,'price sheet'!$A$3:$F$162,6,FALSE),IF($J$11="par",VLOOKUP(A22,'price sheet'!$A$3:$F$162,5,FALSE),VLOOKUP(A22,'price sheet'!$A$3:$F$162,6,FALSE))))</f>
        <v>FREE</v>
      </c>
      <c r="G22" s="138"/>
      <c r="H22" s="461" t="str">
        <f t="shared" si="0"/>
        <v/>
      </c>
      <c r="I22" s="138"/>
      <c r="J22" s="248" t="str">
        <f t="shared" si="1"/>
        <v>FREE</v>
      </c>
      <c r="K22" s="281"/>
      <c r="L22" s="194"/>
      <c r="M22" s="194"/>
      <c r="N22" s="184">
        <f t="shared" si="2"/>
        <v>0</v>
      </c>
      <c r="O22" s="184">
        <f t="shared" si="3"/>
        <v>0</v>
      </c>
      <c r="P22" s="184">
        <f t="shared" si="4"/>
        <v>0</v>
      </c>
      <c r="Q22" s="185">
        <f>IF($J$11="fld",IF(K22&gt;0,J22*$G$124,0),SUM(N22:P22))</f>
        <v>0</v>
      </c>
    </row>
    <row r="23" spans="1:17" s="41" customFormat="1" ht="12" customHeight="1">
      <c r="A23" s="35" t="s">
        <v>16</v>
      </c>
      <c r="B23" s="36" t="s">
        <v>17</v>
      </c>
      <c r="C23" s="37"/>
      <c r="D23" s="37"/>
      <c r="E23" s="38"/>
      <c r="F23" s="39" t="str">
        <f>IF($J$11="fld",VLOOKUP(A23,'price sheet'!$A$3:$F$162,4,FALSE),IF($J$11="ret",VLOOKUP(A23,'price sheet'!$A$3:$F$162,6,FALSE),IF($J$11="par",VLOOKUP(A23,'price sheet'!$A$3:$F$162,5,FALSE),VLOOKUP(A23,'price sheet'!$A$3:$F$162,6,FALSE))))</f>
        <v>FREE</v>
      </c>
      <c r="G23" s="138"/>
      <c r="H23" s="461" t="str">
        <f t="shared" si="0"/>
        <v/>
      </c>
      <c r="I23" s="138"/>
      <c r="J23" s="248" t="str">
        <f t="shared" si="1"/>
        <v>FREE</v>
      </c>
      <c r="K23" s="281"/>
      <c r="L23" s="194"/>
      <c r="M23" s="194"/>
      <c r="N23" s="184">
        <f t="shared" si="2"/>
        <v>0</v>
      </c>
      <c r="O23" s="184">
        <f t="shared" si="3"/>
        <v>0</v>
      </c>
      <c r="P23" s="184">
        <f t="shared" si="4"/>
        <v>0</v>
      </c>
      <c r="Q23" s="185">
        <f>IF($J$11="fld",IF(K23&gt;0,J23*$G$124,0),SUM(N23:P23))</f>
        <v>0</v>
      </c>
    </row>
    <row r="24" spans="1:17" s="41" customFormat="1" ht="12" customHeight="1">
      <c r="A24" s="35" t="s">
        <v>18</v>
      </c>
      <c r="B24" s="36" t="s">
        <v>19</v>
      </c>
      <c r="C24" s="37"/>
      <c r="D24" s="37"/>
      <c r="E24" s="38"/>
      <c r="F24" s="39" t="str">
        <f>IF($J$11="fld",VLOOKUP(A24,'price sheet'!$A$3:$F$162,4,FALSE),IF($J$11="ret",VLOOKUP(A24,'price sheet'!$A$3:$F$162,6,FALSE),IF($J$11="par",VLOOKUP(A24,'price sheet'!$A$3:$F$162,5,FALSE),VLOOKUP(A24,'price sheet'!$A$3:$F$162,6,FALSE))))</f>
        <v>FREE</v>
      </c>
      <c r="G24" s="138"/>
      <c r="H24" s="461" t="str">
        <f t="shared" si="0"/>
        <v/>
      </c>
      <c r="I24" s="138"/>
      <c r="J24" s="248" t="str">
        <f t="shared" si="1"/>
        <v>FREE</v>
      </c>
      <c r="K24" s="281"/>
      <c r="L24" s="194"/>
      <c r="M24" s="194"/>
      <c r="N24" s="184">
        <f t="shared" si="2"/>
        <v>0</v>
      </c>
      <c r="O24" s="184">
        <f t="shared" si="3"/>
        <v>0</v>
      </c>
      <c r="P24" s="184">
        <f t="shared" si="4"/>
        <v>0</v>
      </c>
      <c r="Q24" s="185">
        <f>IF($J$11="fld",IF(K24&gt;0,J24*$G$124,0),SUM(N24:P24))</f>
        <v>0</v>
      </c>
    </row>
    <row r="25" spans="1:17" s="33" customFormat="1" ht="29.25" customHeight="1">
      <c r="A25" s="336"/>
      <c r="B25" s="559" t="s">
        <v>641</v>
      </c>
      <c r="C25" s="560"/>
      <c r="D25" s="560"/>
      <c r="E25" s="561"/>
      <c r="F25" s="337"/>
      <c r="G25" s="338"/>
      <c r="H25" s="338"/>
      <c r="I25" s="338"/>
      <c r="J25" s="367">
        <f>SUM(J26:J36)</f>
        <v>0</v>
      </c>
      <c r="K25" s="447"/>
      <c r="L25" s="193"/>
      <c r="M25" s="193"/>
      <c r="N25" s="184"/>
      <c r="O25" s="184"/>
      <c r="P25" s="184"/>
      <c r="Q25" s="185"/>
    </row>
    <row r="26" spans="1:17" s="41" customFormat="1" ht="12" customHeight="1">
      <c r="A26" s="35" t="s">
        <v>28</v>
      </c>
      <c r="B26" s="36" t="s">
        <v>29</v>
      </c>
      <c r="C26" s="37"/>
      <c r="D26" s="37"/>
      <c r="E26" s="38"/>
      <c r="F26" s="39" t="str">
        <f>IF($J$11="fld",VLOOKUP(A26,'price sheet'!$A$3:$F$162,4,FALSE),IF($J$11="ret",VLOOKUP(A26,'price sheet'!$A$3:$F$162,6,FALSE),IF($J$11="par",VLOOKUP(A26,'price sheet'!$A$3:$F$162,5,FALSE),VLOOKUP(A26,'price sheet'!$A$3:$F$162,6,FALSE))))</f>
        <v>FREE</v>
      </c>
      <c r="G26" s="138"/>
      <c r="H26" s="461" t="str">
        <f t="shared" ref="H26:H36" si="5">IF(K26="X","Back Ordered","")</f>
        <v/>
      </c>
      <c r="I26" s="138"/>
      <c r="J26" s="248" t="str">
        <f t="shared" ref="J26:J36" si="6">IF(K26="x",0,IF(F26="n/a","N/A",IF(F26="free","FREE",IF(I26=0,SUM(G26*F26),SUM(I26*F26)))))</f>
        <v>FREE</v>
      </c>
      <c r="K26" s="281"/>
      <c r="L26" s="194"/>
      <c r="M26" s="194"/>
      <c r="N26" s="184">
        <f t="shared" ref="N26:N36" si="7">IF($J$11="ret",IF(G26&gt;9,J26*15%,0),0)</f>
        <v>0</v>
      </c>
      <c r="O26" s="184">
        <f t="shared" ref="O26:O36" si="8">IF($J$11="ret",IF(G26&gt;49,J26*10%,0),0)</f>
        <v>0</v>
      </c>
      <c r="P26" s="184">
        <f t="shared" ref="P26:P36" si="9">IF($J$11="ret",IF(G26&gt;99,J26*5%,0),0)</f>
        <v>0</v>
      </c>
      <c r="Q26" s="185">
        <f>IF($J$11="fld",IF(K26&gt;0,J26*$G$124,0),SUM(N26:P26))</f>
        <v>0</v>
      </c>
    </row>
    <row r="27" spans="1:17" s="19" customFormat="1" ht="12" customHeight="1">
      <c r="A27" s="35" t="s">
        <v>30</v>
      </c>
      <c r="B27" s="36" t="s">
        <v>31</v>
      </c>
      <c r="C27" s="37"/>
      <c r="D27" s="37"/>
      <c r="E27" s="20"/>
      <c r="F27" s="39" t="str">
        <f>IF($J$11="fld",VLOOKUP(A27,'price sheet'!$A$3:$F$162,4,FALSE),IF($J$11="ret",VLOOKUP(A27,'price sheet'!$A$3:$F$162,6,FALSE),IF($J$11="par",VLOOKUP(A27,'price sheet'!$A$3:$F$162,5,FALSE),VLOOKUP(A27,'price sheet'!$A$3:$F$162,6,FALSE))))</f>
        <v>FREE</v>
      </c>
      <c r="G27" s="138"/>
      <c r="H27" s="461" t="str">
        <f t="shared" si="5"/>
        <v/>
      </c>
      <c r="I27" s="138"/>
      <c r="J27" s="248" t="str">
        <f t="shared" si="6"/>
        <v>FREE</v>
      </c>
      <c r="K27" s="281"/>
      <c r="L27" s="194"/>
      <c r="M27" s="194"/>
      <c r="N27" s="184">
        <f t="shared" si="7"/>
        <v>0</v>
      </c>
      <c r="O27" s="184">
        <f t="shared" si="8"/>
        <v>0</v>
      </c>
      <c r="P27" s="184">
        <f t="shared" si="9"/>
        <v>0</v>
      </c>
      <c r="Q27" s="185">
        <f>IF($J$11="fld",IF(K27&gt;0,J27*$G$124,0),SUM(N27:P27))</f>
        <v>0</v>
      </c>
    </row>
    <row r="28" spans="1:17" s="41" customFormat="1" ht="12" customHeight="1">
      <c r="A28" s="35" t="s">
        <v>32</v>
      </c>
      <c r="B28" s="36" t="s">
        <v>33</v>
      </c>
      <c r="C28" s="37"/>
      <c r="D28" s="37"/>
      <c r="E28" s="38"/>
      <c r="F28" s="39" t="str">
        <f>IF($J$11="fld",VLOOKUP(A28,'price sheet'!$A$3:$F$162,4,FALSE),IF($J$11="ret",VLOOKUP(A28,'price sheet'!$A$3:$F$162,6,FALSE),IF($J$11="par",VLOOKUP(A28,'price sheet'!$A$3:$F$162,5,FALSE),VLOOKUP(A28,'price sheet'!$A$3:$F$162,6,FALSE))))</f>
        <v>FREE</v>
      </c>
      <c r="G28" s="138"/>
      <c r="H28" s="461" t="str">
        <f t="shared" si="5"/>
        <v/>
      </c>
      <c r="I28" s="138"/>
      <c r="J28" s="248" t="str">
        <f t="shared" si="6"/>
        <v>FREE</v>
      </c>
      <c r="K28" s="281"/>
      <c r="L28" s="194"/>
      <c r="M28" s="194"/>
      <c r="N28" s="184">
        <f t="shared" si="7"/>
        <v>0</v>
      </c>
      <c r="O28" s="184">
        <f t="shared" si="8"/>
        <v>0</v>
      </c>
      <c r="P28" s="184">
        <f t="shared" si="9"/>
        <v>0</v>
      </c>
      <c r="Q28" s="185">
        <f>IF($J$11="fld",IF(K28&gt;0,J28*$G$124,0),SUM(N28:P28))</f>
        <v>0</v>
      </c>
    </row>
    <row r="29" spans="1:17" s="41" customFormat="1" ht="12" customHeight="1">
      <c r="A29" s="35" t="s">
        <v>34</v>
      </c>
      <c r="B29" s="36" t="s">
        <v>169</v>
      </c>
      <c r="C29" s="37"/>
      <c r="D29" s="37"/>
      <c r="E29" s="38"/>
      <c r="F29" s="39" t="str">
        <f>IF($J$11="fld",VLOOKUP(A29,'price sheet'!$A$3:$F$162,4,FALSE),IF($J$11="ret",VLOOKUP(A29,'price sheet'!$A$3:$F$162,6,FALSE),IF($J$11="par",VLOOKUP(A29,'price sheet'!$A$3:$F$162,5,FALSE),VLOOKUP(A29,'price sheet'!$A$3:$F$162,6,FALSE))))</f>
        <v>FREE</v>
      </c>
      <c r="G29" s="138"/>
      <c r="H29" s="461" t="str">
        <f t="shared" si="5"/>
        <v/>
      </c>
      <c r="I29" s="138"/>
      <c r="J29" s="248" t="str">
        <f t="shared" si="6"/>
        <v>FREE</v>
      </c>
      <c r="K29" s="281"/>
      <c r="L29" s="194"/>
      <c r="M29" s="194"/>
      <c r="N29" s="184">
        <f t="shared" si="7"/>
        <v>0</v>
      </c>
      <c r="O29" s="184">
        <f t="shared" si="8"/>
        <v>0</v>
      </c>
      <c r="P29" s="184">
        <f t="shared" si="9"/>
        <v>0</v>
      </c>
      <c r="Q29" s="185">
        <f>IF($J$11="fld",IF(K29&gt;0,J29*$G$124,0),SUM(N29:P29))</f>
        <v>0</v>
      </c>
    </row>
    <row r="30" spans="1:17" s="41" customFormat="1" ht="12" customHeight="1">
      <c r="A30" s="35" t="s">
        <v>35</v>
      </c>
      <c r="B30" s="36" t="s">
        <v>96</v>
      </c>
      <c r="C30" s="37"/>
      <c r="D30" s="37"/>
      <c r="E30" s="38"/>
      <c r="F30" s="39" t="str">
        <f>IF($J$11="fld",VLOOKUP(A30,'price sheet'!$A$3:$F$162,4,FALSE),IF($J$11="ret",VLOOKUP(A30,'price sheet'!$A$3:$F$162,6,FALSE),IF($J$11="par",VLOOKUP(A30,'price sheet'!$A$3:$F$162,5,FALSE),VLOOKUP(A30,'price sheet'!$A$3:$F$162,6,FALSE))))</f>
        <v>FREE</v>
      </c>
      <c r="G30" s="138"/>
      <c r="H30" s="461" t="str">
        <f t="shared" si="5"/>
        <v/>
      </c>
      <c r="I30" s="138"/>
      <c r="J30" s="248" t="str">
        <f t="shared" si="6"/>
        <v>FREE</v>
      </c>
      <c r="K30" s="281"/>
      <c r="L30" s="194"/>
      <c r="M30" s="194"/>
      <c r="N30" s="184">
        <f t="shared" si="7"/>
        <v>0</v>
      </c>
      <c r="O30" s="184">
        <f t="shared" si="8"/>
        <v>0</v>
      </c>
      <c r="P30" s="184">
        <f t="shared" si="9"/>
        <v>0</v>
      </c>
      <c r="Q30" s="185">
        <f>IF($J$11="fld",IF(K30&gt;0,J30*$G$124,0),SUM(N30:P30))</f>
        <v>0</v>
      </c>
    </row>
    <row r="31" spans="1:17" s="41" customFormat="1" ht="12" customHeight="1">
      <c r="A31" s="35" t="s">
        <v>36</v>
      </c>
      <c r="B31" s="246" t="s">
        <v>544</v>
      </c>
      <c r="C31" s="37"/>
      <c r="D31" s="37"/>
      <c r="E31" s="38"/>
      <c r="F31" s="39" t="str">
        <f>IF($J$11="fld",VLOOKUP(A31,'price sheet'!$A$3:$F$162,4,FALSE),IF($J$11="ret",VLOOKUP(A31,'price sheet'!$A$3:$F$162,6,FALSE),IF($J$11="par",VLOOKUP(A31,'price sheet'!$A$3:$F$162,5,FALSE),VLOOKUP(A31,'price sheet'!$A$3:$F$162,6,FALSE))))</f>
        <v>FREE</v>
      </c>
      <c r="G31" s="138"/>
      <c r="H31" s="461" t="str">
        <f t="shared" si="5"/>
        <v/>
      </c>
      <c r="I31" s="138"/>
      <c r="J31" s="248" t="str">
        <f t="shared" si="6"/>
        <v>FREE</v>
      </c>
      <c r="K31" s="281"/>
      <c r="L31" s="194"/>
      <c r="M31" s="194"/>
      <c r="N31" s="184">
        <f t="shared" si="7"/>
        <v>0</v>
      </c>
      <c r="O31" s="184">
        <f t="shared" si="8"/>
        <v>0</v>
      </c>
      <c r="P31" s="184">
        <f t="shared" si="9"/>
        <v>0</v>
      </c>
      <c r="Q31" s="185">
        <f>IF($J$11="fld",IF(K31&gt;0,J31*$G$124,0),SUM(N31:P31))</f>
        <v>0</v>
      </c>
    </row>
    <row r="32" spans="1:17" s="41" customFormat="1" ht="12" customHeight="1">
      <c r="A32" s="35" t="s">
        <v>37</v>
      </c>
      <c r="B32" s="36" t="s">
        <v>43</v>
      </c>
      <c r="C32" s="37"/>
      <c r="D32" s="37"/>
      <c r="E32" s="38"/>
      <c r="F32" s="39" t="str">
        <f>IF($J$11="fld",VLOOKUP(A32,'price sheet'!$A$3:$F$162,4,FALSE),IF($J$11="ret",VLOOKUP(A32,'price sheet'!$A$3:$F$162,6,FALSE),IF($J$11="par",VLOOKUP(A32,'price sheet'!$A$3:$F$162,5,FALSE),VLOOKUP(A32,'price sheet'!$A$3:$F$162,6,FALSE))))</f>
        <v>FREE</v>
      </c>
      <c r="G32" s="138"/>
      <c r="H32" s="461" t="str">
        <f t="shared" si="5"/>
        <v/>
      </c>
      <c r="I32" s="138"/>
      <c r="J32" s="248" t="str">
        <f t="shared" si="6"/>
        <v>FREE</v>
      </c>
      <c r="K32" s="281"/>
      <c r="L32" s="194"/>
      <c r="M32" s="194"/>
      <c r="N32" s="184">
        <f t="shared" si="7"/>
        <v>0</v>
      </c>
      <c r="O32" s="184">
        <f t="shared" si="8"/>
        <v>0</v>
      </c>
      <c r="P32" s="184">
        <f t="shared" si="9"/>
        <v>0</v>
      </c>
      <c r="Q32" s="185">
        <f>IF($J$11="fld",IF(K32&gt;0,J32*$G$124,0),SUM(N32:P32))</f>
        <v>0</v>
      </c>
    </row>
    <row r="33" spans="1:17" s="41" customFormat="1" ht="12" customHeight="1">
      <c r="A33" s="35" t="s">
        <v>38</v>
      </c>
      <c r="B33" s="36" t="s">
        <v>44</v>
      </c>
      <c r="C33" s="37"/>
      <c r="D33" s="37"/>
      <c r="E33" s="38"/>
      <c r="F33" s="39" t="str">
        <f>IF($J$11="fld",VLOOKUP(A33,'price sheet'!$A$3:$F$162,4,FALSE),IF($J$11="ret",VLOOKUP(A33,'price sheet'!$A$3:$F$162,6,FALSE),IF($J$11="par",VLOOKUP(A33,'price sheet'!$A$3:$F$162,5,FALSE),VLOOKUP(A33,'price sheet'!$A$3:$F$162,6,FALSE))))</f>
        <v>FREE</v>
      </c>
      <c r="G33" s="138"/>
      <c r="H33" s="461" t="str">
        <f t="shared" si="5"/>
        <v/>
      </c>
      <c r="I33" s="138"/>
      <c r="J33" s="248" t="str">
        <f t="shared" si="6"/>
        <v>FREE</v>
      </c>
      <c r="K33" s="281"/>
      <c r="L33" s="194"/>
      <c r="M33" s="194"/>
      <c r="N33" s="184">
        <f t="shared" si="7"/>
        <v>0</v>
      </c>
      <c r="O33" s="184">
        <f t="shared" si="8"/>
        <v>0</v>
      </c>
      <c r="P33" s="184">
        <f t="shared" si="9"/>
        <v>0</v>
      </c>
      <c r="Q33" s="185">
        <f>IF($J$11="fld",IF(K33&gt;0,J33*$G$124,0),SUM(N33:P33))</f>
        <v>0</v>
      </c>
    </row>
    <row r="34" spans="1:17" s="41" customFormat="1" ht="12" customHeight="1">
      <c r="A34" s="35" t="s">
        <v>39</v>
      </c>
      <c r="B34" s="36" t="s">
        <v>45</v>
      </c>
      <c r="C34" s="37"/>
      <c r="D34" s="37"/>
      <c r="E34" s="38"/>
      <c r="F34" s="39" t="str">
        <f>IF($J$11="fld",VLOOKUP(A34,'price sheet'!$A$3:$F$162,4,FALSE),IF($J$11="ret",VLOOKUP(A34,'price sheet'!$A$3:$F$162,6,FALSE),IF($J$11="par",VLOOKUP(A34,'price sheet'!$A$3:$F$162,5,FALSE),VLOOKUP(A34,'price sheet'!$A$3:$F$162,6,FALSE))))</f>
        <v>FREE</v>
      </c>
      <c r="G34" s="138"/>
      <c r="H34" s="461" t="str">
        <f t="shared" si="5"/>
        <v/>
      </c>
      <c r="I34" s="138"/>
      <c r="J34" s="248" t="str">
        <f t="shared" si="6"/>
        <v>FREE</v>
      </c>
      <c r="K34" s="281"/>
      <c r="L34" s="194"/>
      <c r="M34" s="194"/>
      <c r="N34" s="184">
        <f t="shared" si="7"/>
        <v>0</v>
      </c>
      <c r="O34" s="184">
        <f t="shared" si="8"/>
        <v>0</v>
      </c>
      <c r="P34" s="184">
        <f t="shared" si="9"/>
        <v>0</v>
      </c>
      <c r="Q34" s="185">
        <f>IF($J$11="fld",IF(K34&gt;0,J34*$G$124,0),SUM(N34:P34))</f>
        <v>0</v>
      </c>
    </row>
    <row r="35" spans="1:17" s="41" customFormat="1" ht="12" customHeight="1">
      <c r="A35" s="35" t="s">
        <v>40</v>
      </c>
      <c r="B35" s="36" t="s">
        <v>46</v>
      </c>
      <c r="C35" s="37"/>
      <c r="D35" s="37"/>
      <c r="E35" s="38"/>
      <c r="F35" s="39" t="str">
        <f>IF($J$11="fld",VLOOKUP(A35,'price sheet'!$A$3:$F$162,4,FALSE),IF($J$11="ret",VLOOKUP(A35,'price sheet'!$A$3:$F$162,6,FALSE),IF($J$11="par",VLOOKUP(A35,'price sheet'!$A$3:$F$162,5,FALSE),VLOOKUP(A35,'price sheet'!$A$3:$F$162,6,FALSE))))</f>
        <v>FREE</v>
      </c>
      <c r="G35" s="138"/>
      <c r="H35" s="461" t="str">
        <f t="shared" si="5"/>
        <v/>
      </c>
      <c r="I35" s="138"/>
      <c r="J35" s="248" t="str">
        <f t="shared" si="6"/>
        <v>FREE</v>
      </c>
      <c r="K35" s="281"/>
      <c r="L35" s="194"/>
      <c r="M35" s="194"/>
      <c r="N35" s="184">
        <f t="shared" si="7"/>
        <v>0</v>
      </c>
      <c r="O35" s="184">
        <f t="shared" si="8"/>
        <v>0</v>
      </c>
      <c r="P35" s="184">
        <f t="shared" si="9"/>
        <v>0</v>
      </c>
      <c r="Q35" s="185">
        <f>IF($J$11="fld",IF(K35&gt;0,J35*$G$124,0),SUM(N35:P35))</f>
        <v>0</v>
      </c>
    </row>
    <row r="36" spans="1:17" s="41" customFormat="1" ht="12" customHeight="1">
      <c r="A36" s="35" t="s">
        <v>41</v>
      </c>
      <c r="B36" s="36" t="s">
        <v>47</v>
      </c>
      <c r="C36" s="37"/>
      <c r="D36" s="37"/>
      <c r="E36" s="38"/>
      <c r="F36" s="39" t="str">
        <f>IF($J$11="fld",VLOOKUP(A36,'price sheet'!$A$3:$F$162,4,FALSE),IF($J$11="ret",VLOOKUP(A36,'price sheet'!$A$3:$F$162,6,FALSE),IF($J$11="par",VLOOKUP(A36,'price sheet'!$A$3:$F$162,5,FALSE),VLOOKUP(A36,'price sheet'!$A$3:$F$162,6,FALSE))))</f>
        <v>FREE</v>
      </c>
      <c r="G36" s="138"/>
      <c r="H36" s="461" t="str">
        <f t="shared" si="5"/>
        <v/>
      </c>
      <c r="I36" s="138"/>
      <c r="J36" s="248" t="str">
        <f t="shared" si="6"/>
        <v>FREE</v>
      </c>
      <c r="K36" s="281"/>
      <c r="L36" s="194"/>
      <c r="M36" s="194"/>
      <c r="N36" s="184">
        <f t="shared" si="7"/>
        <v>0</v>
      </c>
      <c r="O36" s="184">
        <f t="shared" si="8"/>
        <v>0</v>
      </c>
      <c r="P36" s="184">
        <f t="shared" si="9"/>
        <v>0</v>
      </c>
      <c r="Q36" s="185">
        <f>IF($J$11="fld",IF(K36&gt;0,J36*$G$124,0),SUM(N36:P36))</f>
        <v>0</v>
      </c>
    </row>
    <row r="37" spans="1:17" s="33" customFormat="1" ht="15.75">
      <c r="A37" s="339"/>
      <c r="B37" s="562" t="s">
        <v>542</v>
      </c>
      <c r="C37" s="563"/>
      <c r="D37" s="563"/>
      <c r="E37" s="564"/>
      <c r="F37" s="340"/>
      <c r="G37" s="341"/>
      <c r="H37" s="341"/>
      <c r="I37" s="341"/>
      <c r="J37" s="368">
        <f>SUM(J39:J46)</f>
        <v>0</v>
      </c>
      <c r="K37" s="447"/>
      <c r="L37" s="193"/>
      <c r="M37" s="193"/>
      <c r="N37" s="184"/>
      <c r="O37" s="184"/>
      <c r="P37" s="184"/>
      <c r="Q37" s="185"/>
    </row>
    <row r="38" spans="1:17" s="216" customFormat="1" ht="16.5">
      <c r="A38" s="244" t="s">
        <v>49</v>
      </c>
      <c r="B38" s="246" t="s">
        <v>649</v>
      </c>
      <c r="C38" s="448"/>
      <c r="D38" s="448"/>
      <c r="E38" s="448"/>
      <c r="F38" s="39">
        <f>IF($J$11="fld",VLOOKUP(A38,'price sheet'!$A$3:$F$162,4,FALSE),IF($J$11="ret",VLOOKUP(A38,'price sheet'!$A$3:$F$162,6,FALSE),IF($J$11="par",VLOOKUP(A38,'price sheet'!$A$3:$F$162,5,FALSE),VLOOKUP(A38,'price sheet'!$A$3:$F$162,6,FALSE))))</f>
        <v>5.3</v>
      </c>
      <c r="G38" s="138"/>
      <c r="H38" s="461" t="str">
        <f>IF(K38="X","Back Ordered","")</f>
        <v/>
      </c>
      <c r="I38" s="138"/>
      <c r="J38" s="248">
        <f t="shared" ref="J38:J44" si="10">IF(K38="x",0,IF(F38="n/a","N/A",IF(F38="free","FREE",IF(I38=0,SUM(G38*F38),SUM(I38*F38)))))</f>
        <v>0</v>
      </c>
      <c r="K38" s="449"/>
      <c r="L38" s="215"/>
      <c r="M38" s="215"/>
      <c r="N38" s="184">
        <f t="shared" ref="N38:N46" si="11">IF($J$11="ret",IF(G38&gt;9,J38*15%,0),0)</f>
        <v>0</v>
      </c>
      <c r="O38" s="184">
        <f t="shared" ref="O38:O46" si="12">IF($J$11="ret",IF(G38&gt;49,J38*10%,0),0)</f>
        <v>0</v>
      </c>
      <c r="P38" s="184">
        <f t="shared" ref="P38:P46" si="13">IF($J$11="ret",IF(G38&gt;99,J38*5%,0),0)</f>
        <v>0</v>
      </c>
      <c r="Q38" s="185">
        <f>IF($J$11="fld",IF(K38&gt;0,J38*$G$124,0),SUM(N38:P38))</f>
        <v>0</v>
      </c>
    </row>
    <row r="39" spans="1:17" s="216" customFormat="1" ht="16.5">
      <c r="A39" s="244" t="s">
        <v>563</v>
      </c>
      <c r="B39" s="246" t="s">
        <v>656</v>
      </c>
      <c r="C39" s="448"/>
      <c r="D39" s="448"/>
      <c r="E39" s="448"/>
      <c r="F39" s="39">
        <f>IF($J$11="fld",VLOOKUP(A39,'price sheet'!$A$3:$F$162,4,FALSE),IF($J$11="ret",VLOOKUP(A39,'price sheet'!$A$3:$F$162,6,FALSE),IF($J$11="par",VLOOKUP(A39,'price sheet'!$A$3:$F$162,5,FALSE),VLOOKUP(A39,'price sheet'!$A$3:$F$162,6,FALSE))))</f>
        <v>5.3</v>
      </c>
      <c r="G39" s="138"/>
      <c r="H39" s="461" t="str">
        <f>IF(K39="X","Back Ordered","")</f>
        <v/>
      </c>
      <c r="I39" s="138"/>
      <c r="J39" s="248">
        <f t="shared" si="10"/>
        <v>0</v>
      </c>
      <c r="K39" s="449"/>
      <c r="L39" s="215"/>
      <c r="M39" s="215"/>
      <c r="N39" s="184">
        <f t="shared" si="11"/>
        <v>0</v>
      </c>
      <c r="O39" s="184">
        <f t="shared" si="12"/>
        <v>0</v>
      </c>
      <c r="P39" s="184">
        <f t="shared" si="13"/>
        <v>0</v>
      </c>
      <c r="Q39" s="185">
        <f>IF($J$11="fld",IF(K39&gt;0,J39*$G$124,0),SUM(N39:P39))</f>
        <v>0</v>
      </c>
    </row>
    <row r="40" spans="1:17" s="41" customFormat="1" ht="12" customHeight="1">
      <c r="A40" s="35" t="s">
        <v>445</v>
      </c>
      <c r="B40" s="246" t="s">
        <v>567</v>
      </c>
      <c r="C40" s="37"/>
      <c r="D40" s="37"/>
      <c r="E40" s="37"/>
      <c r="F40" s="39">
        <f>IF($J$11="fld",VLOOKUP(A40,'price sheet'!$A$3:$F$162,4,FALSE),IF($J$11="ret",VLOOKUP(A40,'price sheet'!$A$3:$F$162,6,FALSE),IF($J$11="par",VLOOKUP(A40,'price sheet'!$A$3:$F$162,5,FALSE),VLOOKUP(A40,'price sheet'!$A$3:$F$162,6,FALSE))))</f>
        <v>5.3</v>
      </c>
      <c r="G40" s="138"/>
      <c r="H40" s="461" t="str">
        <f t="shared" ref="H40:H45" si="14">IF(K40="X","Back Ordered","")</f>
        <v/>
      </c>
      <c r="I40" s="138"/>
      <c r="J40" s="248">
        <f t="shared" si="10"/>
        <v>0</v>
      </c>
      <c r="K40" s="281"/>
      <c r="L40" s="194"/>
      <c r="M40" s="194"/>
      <c r="N40" s="184">
        <f t="shared" si="11"/>
        <v>0</v>
      </c>
      <c r="O40" s="184">
        <f t="shared" si="12"/>
        <v>0</v>
      </c>
      <c r="P40" s="184">
        <f t="shared" si="13"/>
        <v>0</v>
      </c>
      <c r="Q40" s="185">
        <f>IF($J$11="fld",IF(K40&gt;0,J40*$G$124,0),SUM(N40:P40))</f>
        <v>0</v>
      </c>
    </row>
    <row r="41" spans="1:17" s="41" customFormat="1" ht="12" customHeight="1">
      <c r="A41" s="35" t="s">
        <v>440</v>
      </c>
      <c r="B41" s="246" t="s">
        <v>568</v>
      </c>
      <c r="C41" s="37"/>
      <c r="D41" s="37"/>
      <c r="E41" s="37"/>
      <c r="F41" s="39">
        <f>IF($J$11="fld",VLOOKUP(A41,'price sheet'!$A$3:$F$162,4,FALSE),IF($J$11="ret",VLOOKUP(A41,'price sheet'!$A$3:$F$162,6,FALSE),IF($J$11="par",VLOOKUP(A41,'price sheet'!$A$3:$F$162,5,FALSE),VLOOKUP(A41,'price sheet'!$A$3:$F$162,6,FALSE))))</f>
        <v>5.3</v>
      </c>
      <c r="G41" s="138"/>
      <c r="H41" s="461" t="str">
        <f t="shared" si="14"/>
        <v/>
      </c>
      <c r="I41" s="138"/>
      <c r="J41" s="248">
        <f t="shared" si="10"/>
        <v>0</v>
      </c>
      <c r="K41" s="281"/>
      <c r="L41" s="194"/>
      <c r="M41" s="194"/>
      <c r="N41" s="184">
        <f t="shared" si="11"/>
        <v>0</v>
      </c>
      <c r="O41" s="184">
        <f t="shared" si="12"/>
        <v>0</v>
      </c>
      <c r="P41" s="184">
        <f t="shared" si="13"/>
        <v>0</v>
      </c>
      <c r="Q41" s="185">
        <f>IF($J$11="fld",IF(K41&gt;0,J41*$G$124,0),SUM(N41:P41))</f>
        <v>0</v>
      </c>
    </row>
    <row r="42" spans="1:17" s="41" customFormat="1" ht="12" customHeight="1">
      <c r="A42" s="244" t="s">
        <v>442</v>
      </c>
      <c r="B42" s="246" t="s">
        <v>650</v>
      </c>
      <c r="C42" s="37"/>
      <c r="D42" s="37"/>
      <c r="E42" s="37"/>
      <c r="F42" s="39">
        <v>3.18</v>
      </c>
      <c r="G42" s="138"/>
      <c r="H42" s="461"/>
      <c r="I42" s="138"/>
      <c r="J42" s="248"/>
      <c r="K42" s="281"/>
      <c r="L42" s="194"/>
      <c r="M42" s="194"/>
      <c r="N42" s="184">
        <f t="shared" si="11"/>
        <v>0</v>
      </c>
      <c r="O42" s="184">
        <f t="shared" si="12"/>
        <v>0</v>
      </c>
      <c r="P42" s="184">
        <f t="shared" si="13"/>
        <v>0</v>
      </c>
      <c r="Q42" s="185">
        <f>IF($J$11="fld",IF(K42&gt;0,J42*$G$124,0),SUM(N42:P42))</f>
        <v>0</v>
      </c>
    </row>
    <row r="43" spans="1:17" s="41" customFormat="1" ht="12" customHeight="1">
      <c r="A43" s="35" t="s">
        <v>444</v>
      </c>
      <c r="B43" s="246" t="s">
        <v>569</v>
      </c>
      <c r="C43" s="37"/>
      <c r="D43" s="37"/>
      <c r="E43" s="37"/>
      <c r="F43" s="39">
        <f>IF($J$11="fld",VLOOKUP(A43,'price sheet'!$A$3:$F$162,4,FALSE),IF($J$11="ret",VLOOKUP(A43,'price sheet'!$A$3:$F$162,6,FALSE),IF($J$11="par",VLOOKUP(A43,'price sheet'!$A$3:$F$162,5,FALSE),VLOOKUP(A43,'price sheet'!$A$3:$F$162,6,FALSE))))</f>
        <v>5.3</v>
      </c>
      <c r="G43" s="138"/>
      <c r="H43" s="461" t="str">
        <f t="shared" si="14"/>
        <v/>
      </c>
      <c r="I43" s="138"/>
      <c r="J43" s="248">
        <f t="shared" si="10"/>
        <v>0</v>
      </c>
      <c r="K43" s="281"/>
      <c r="L43" s="194"/>
      <c r="M43" s="194"/>
      <c r="N43" s="184">
        <f t="shared" si="11"/>
        <v>0</v>
      </c>
      <c r="O43" s="184">
        <f t="shared" si="12"/>
        <v>0</v>
      </c>
      <c r="P43" s="184">
        <f t="shared" si="13"/>
        <v>0</v>
      </c>
      <c r="Q43" s="185">
        <f>IF($J$11="fld",IF(K43&gt;0,J43*$G$124,0),SUM(N43:P43))</f>
        <v>0</v>
      </c>
    </row>
    <row r="44" spans="1:17" s="41" customFormat="1" ht="12" customHeight="1">
      <c r="A44" s="244" t="s">
        <v>564</v>
      </c>
      <c r="B44" s="246" t="s">
        <v>651</v>
      </c>
      <c r="C44" s="37"/>
      <c r="D44" s="37"/>
      <c r="E44" s="37"/>
      <c r="F44" s="39">
        <f>IF($J$11="fld",VLOOKUP(A44,'price sheet'!$A$3:$F$162,4,FALSE),IF($J$11="ret",VLOOKUP(A44,'price sheet'!$A$3:$F$162,6,FALSE),IF($J$11="par",VLOOKUP(A44,'price sheet'!$A$3:$F$162,5,FALSE),VLOOKUP(A44,'price sheet'!$A$3:$F$162,6,FALSE))))</f>
        <v>5.3</v>
      </c>
      <c r="G44" s="138"/>
      <c r="H44" s="461" t="str">
        <f t="shared" si="14"/>
        <v/>
      </c>
      <c r="I44" s="138"/>
      <c r="J44" s="248">
        <f t="shared" si="10"/>
        <v>0</v>
      </c>
      <c r="K44" s="281"/>
      <c r="L44" s="194"/>
      <c r="M44" s="194"/>
      <c r="N44" s="184">
        <f t="shared" si="11"/>
        <v>0</v>
      </c>
      <c r="O44" s="184">
        <f t="shared" si="12"/>
        <v>0</v>
      </c>
      <c r="P44" s="184">
        <f t="shared" si="13"/>
        <v>0</v>
      </c>
      <c r="Q44" s="185">
        <f>IF($J$11="fld",IF(K44&gt;0,J44*$G$124,0),SUM(N44:P44))</f>
        <v>0</v>
      </c>
    </row>
    <row r="45" spans="1:17" s="41" customFormat="1" ht="12" customHeight="1">
      <c r="A45" s="244" t="s">
        <v>565</v>
      </c>
      <c r="B45" s="244" t="s">
        <v>652</v>
      </c>
      <c r="C45" s="36"/>
      <c r="D45" s="37"/>
      <c r="E45" s="38"/>
      <c r="F45" s="39">
        <f>IF($J$11="fld",VLOOKUP(A45,'price sheet'!$A$3:$F$162,4,FALSE),IF($J$11="ret",VLOOKUP(A45,'price sheet'!$A$3:$F$162,6,FALSE),IF($J$11="par",VLOOKUP(A45,'price sheet'!$A$3:$F$162,5,FALSE),VLOOKUP(A45,'price sheet'!$A$3:$F$162,6,FALSE))))</f>
        <v>14</v>
      </c>
      <c r="G45" s="138"/>
      <c r="H45" s="461" t="str">
        <f t="shared" si="14"/>
        <v/>
      </c>
      <c r="I45" s="138"/>
      <c r="J45" s="248">
        <f>IF(K45="x",0,IF(F45="n/a","N/A",IF(F45="free","FREE",IF(I45=0,SUM(G45*F45),SUM(I45*F45)))))</f>
        <v>0</v>
      </c>
      <c r="K45" s="281"/>
      <c r="L45" s="194"/>
      <c r="M45" s="194"/>
      <c r="N45" s="184">
        <f t="shared" si="11"/>
        <v>0</v>
      </c>
      <c r="O45" s="184">
        <f t="shared" si="12"/>
        <v>0</v>
      </c>
      <c r="P45" s="184">
        <f t="shared" si="13"/>
        <v>0</v>
      </c>
      <c r="Q45" s="185">
        <f>IF($J$11="fld",IF(K45&gt;0,J45*$G$124,0),SUM(N45:P45))</f>
        <v>0</v>
      </c>
    </row>
    <row r="46" spans="1:17" s="41" customFormat="1">
      <c r="A46" s="244" t="s">
        <v>566</v>
      </c>
      <c r="B46" s="246" t="s">
        <v>615</v>
      </c>
      <c r="C46" s="37"/>
      <c r="D46" s="37"/>
      <c r="E46" s="38"/>
      <c r="F46" s="39">
        <f>IF($J$11="fld",VLOOKUP(A46,'price sheet'!$A$3:$F$162,4,FALSE),IF($J$11="ret",VLOOKUP(A46,'price sheet'!$A$3:$F$162,6,FALSE),IF($J$11="par",VLOOKUP(A46,'price sheet'!$A$3:$F$162,5,FALSE),VLOOKUP(A46,'price sheet'!$A$3:$F$162,6,FALSE))))</f>
        <v>2.9</v>
      </c>
      <c r="G46" s="138"/>
      <c r="H46" s="461" t="str">
        <f>IF(K46="X","Back Ordered","")</f>
        <v/>
      </c>
      <c r="I46" s="138"/>
      <c r="J46" s="248">
        <f>IF(K46="x",0,IF(F46="n/a","N/A",IF(F46="free","FREE",IF(I46=0,SUM(G46*F46),SUM(I46*F46)))))</f>
        <v>0</v>
      </c>
      <c r="K46" s="281"/>
      <c r="L46" s="194"/>
      <c r="M46" s="194"/>
      <c r="N46" s="184">
        <f t="shared" si="11"/>
        <v>0</v>
      </c>
      <c r="O46" s="184">
        <f t="shared" si="12"/>
        <v>0</v>
      </c>
      <c r="P46" s="184">
        <f t="shared" si="13"/>
        <v>0</v>
      </c>
      <c r="Q46" s="185">
        <f>IF($J$11="fld",IF(K46&gt;0,J46*$G$124,0),SUM(N46:P46))</f>
        <v>0</v>
      </c>
    </row>
    <row r="47" spans="1:17" s="33" customFormat="1" ht="15.75">
      <c r="A47" s="345"/>
      <c r="B47" s="556" t="s">
        <v>66</v>
      </c>
      <c r="C47" s="557"/>
      <c r="D47" s="557"/>
      <c r="E47" s="558"/>
      <c r="F47" s="346"/>
      <c r="G47" s="347"/>
      <c r="H47" s="347"/>
      <c r="I47" s="462">
        <f>SUM(J39:J44)</f>
        <v>0</v>
      </c>
      <c r="J47" s="369">
        <f>SUM(J48:J61)</f>
        <v>0</v>
      </c>
      <c r="K47" s="447"/>
      <c r="L47" s="193"/>
      <c r="N47" s="184"/>
      <c r="O47" s="184"/>
      <c r="P47" s="184"/>
      <c r="Q47" s="185"/>
    </row>
    <row r="48" spans="1:17" s="41" customFormat="1" ht="12" customHeight="1">
      <c r="A48" s="35" t="s">
        <v>446</v>
      </c>
      <c r="B48" s="245" t="s">
        <v>601</v>
      </c>
      <c r="C48" s="61"/>
      <c r="D48" s="61"/>
      <c r="E48" s="37"/>
      <c r="F48" s="39">
        <f>IF($J$11="fld",VLOOKUP(A48,'price sheet'!$A$3:$F$162,4,FALSE),IF($J$11="ret",VLOOKUP(A48,'price sheet'!$A$3:$F$162,6,FALSE),IF($J$11="par",VLOOKUP(A48,'price sheet'!$A$3:$F$162,5,FALSE),VLOOKUP(A48,'price sheet'!$A$3:$F$162,6,FALSE))))</f>
        <v>3.5</v>
      </c>
      <c r="G48" s="138"/>
      <c r="H48" s="461" t="str">
        <f t="shared" ref="H48:H52" si="15">IF(K48="X","Back Ordered","")</f>
        <v/>
      </c>
      <c r="I48" s="138"/>
      <c r="J48" s="248">
        <f t="shared" ref="J48:J52" si="16">IF(K48="x",0,IF(F48="n/a","N/A",IF(F48="free","FREE",IF(I48=0,SUM(G48*F48),SUM(I48*F48)))))</f>
        <v>0</v>
      </c>
      <c r="K48" s="281"/>
      <c r="L48" s="194"/>
      <c r="M48" s="194"/>
      <c r="N48" s="184">
        <f t="shared" ref="N48:N75" si="17">IF($J$11="ret",IF(G48&gt;9,J48*15%,0),0)</f>
        <v>0</v>
      </c>
      <c r="O48" s="184">
        <f t="shared" ref="O48:O75" si="18">IF($J$11="ret",IF(G48&gt;49,J48*10%,0),0)</f>
        <v>0</v>
      </c>
      <c r="P48" s="184">
        <f t="shared" ref="P48:P75" si="19">IF($J$11="ret",IF(G48&gt;99,J48*5%,0),0)</f>
        <v>0</v>
      </c>
      <c r="Q48" s="185">
        <f>IF($J$11="fld",IF(K48&gt;0,J48*$G$124,0),SUM(N48:P48))</f>
        <v>0</v>
      </c>
    </row>
    <row r="49" spans="1:17" s="41" customFormat="1" ht="12" customHeight="1">
      <c r="A49" s="35" t="s">
        <v>447</v>
      </c>
      <c r="B49" s="245" t="s">
        <v>604</v>
      </c>
      <c r="C49" s="61"/>
      <c r="D49" s="61"/>
      <c r="E49" s="104"/>
      <c r="F49" s="39">
        <f>IF($J$11="fld",VLOOKUP(A49,'price sheet'!$A$3:$F$162,4,FALSE),IF($J$11="ret",VLOOKUP(A49,'price sheet'!$A$3:$F$162,6,FALSE),IF($J$11="par",VLOOKUP(A49,'price sheet'!$A$3:$F$162,5,FALSE),VLOOKUP(A49,'price sheet'!$A$3:$F$162,6,FALSE))))</f>
        <v>3.5</v>
      </c>
      <c r="G49" s="138"/>
      <c r="H49" s="461" t="str">
        <f t="shared" si="15"/>
        <v/>
      </c>
      <c r="I49" s="138"/>
      <c r="J49" s="248">
        <f t="shared" si="16"/>
        <v>0</v>
      </c>
      <c r="K49" s="281"/>
      <c r="L49" s="194"/>
      <c r="M49" s="194"/>
      <c r="N49" s="184">
        <f t="shared" si="17"/>
        <v>0</v>
      </c>
      <c r="O49" s="184">
        <f t="shared" si="18"/>
        <v>0</v>
      </c>
      <c r="P49" s="184">
        <f t="shared" si="19"/>
        <v>0</v>
      </c>
      <c r="Q49" s="185">
        <f>IF($J$11="fld",IF(K49&gt;0,J49*$G$124,0),SUM(N49:P49))</f>
        <v>0</v>
      </c>
    </row>
    <row r="50" spans="1:17" s="41" customFormat="1" ht="12" customHeight="1">
      <c r="A50" s="35" t="s">
        <v>448</v>
      </c>
      <c r="B50" s="245" t="s">
        <v>602</v>
      </c>
      <c r="C50" s="61"/>
      <c r="D50" s="61"/>
      <c r="E50" s="37"/>
      <c r="F50" s="39">
        <f>IF($J$11="fld",VLOOKUP(A50,'price sheet'!$A$3:$F$162,4,FALSE),IF($J$11="ret",VLOOKUP(A50,'price sheet'!$A$3:$F$162,6,FALSE),IF($J$11="par",VLOOKUP(A50,'price sheet'!$A$3:$F$162,5,FALSE),VLOOKUP(A50,'price sheet'!$A$3:$F$162,6,FALSE))))</f>
        <v>3.5</v>
      </c>
      <c r="G50" s="138"/>
      <c r="H50" s="461" t="str">
        <f t="shared" si="15"/>
        <v/>
      </c>
      <c r="I50" s="138"/>
      <c r="J50" s="248">
        <f t="shared" si="16"/>
        <v>0</v>
      </c>
      <c r="K50" s="281"/>
      <c r="L50" s="194"/>
      <c r="M50" s="194"/>
      <c r="N50" s="184">
        <f t="shared" si="17"/>
        <v>0</v>
      </c>
      <c r="O50" s="184">
        <f t="shared" si="18"/>
        <v>0</v>
      </c>
      <c r="P50" s="184">
        <f t="shared" si="19"/>
        <v>0</v>
      </c>
      <c r="Q50" s="185">
        <f>IF($J$11="fld",IF(K50&gt;0,J50*$G$124,0),SUM(N50:P50))</f>
        <v>0</v>
      </c>
    </row>
    <row r="51" spans="1:17" s="41" customFormat="1" ht="12" customHeight="1">
      <c r="A51" s="35" t="s">
        <v>449</v>
      </c>
      <c r="B51" s="245" t="s">
        <v>603</v>
      </c>
      <c r="C51" s="61"/>
      <c r="D51" s="61"/>
      <c r="E51" s="37"/>
      <c r="F51" s="39">
        <f>IF($J$11="fld",VLOOKUP(A51,'price sheet'!$A$3:$F$162,4,FALSE),IF($J$11="ret",VLOOKUP(A51,'price sheet'!$A$3:$F$162,6,FALSE),IF($J$11="par",VLOOKUP(A51,'price sheet'!$A$3:$F$162,5,FALSE),VLOOKUP(A51,'price sheet'!$A$3:$F$162,6,FALSE))))</f>
        <v>3.5</v>
      </c>
      <c r="G51" s="138"/>
      <c r="H51" s="461" t="str">
        <f t="shared" si="15"/>
        <v/>
      </c>
      <c r="I51" s="138"/>
      <c r="J51" s="248">
        <f t="shared" si="16"/>
        <v>0</v>
      </c>
      <c r="K51" s="281"/>
      <c r="L51" s="194"/>
      <c r="M51" s="194"/>
      <c r="N51" s="184">
        <f t="shared" si="17"/>
        <v>0</v>
      </c>
      <c r="O51" s="184">
        <f t="shared" si="18"/>
        <v>0</v>
      </c>
      <c r="P51" s="184">
        <f t="shared" si="19"/>
        <v>0</v>
      </c>
      <c r="Q51" s="185">
        <f>IF($J$11="fld",IF(K51&gt;0,J51*$G$124,0),SUM(N51:P51))</f>
        <v>0</v>
      </c>
    </row>
    <row r="52" spans="1:17" s="41" customFormat="1" ht="12" customHeight="1">
      <c r="A52" s="35" t="s">
        <v>450</v>
      </c>
      <c r="B52" s="245" t="s">
        <v>605</v>
      </c>
      <c r="C52" s="61"/>
      <c r="D52" s="61"/>
      <c r="E52" s="37"/>
      <c r="F52" s="39">
        <f>IF($J$11="fld",VLOOKUP(A52,'price sheet'!$A$3:$F$162,4,FALSE),IF($J$11="ret",VLOOKUP(A52,'price sheet'!$A$3:$F$162,6,FALSE),IF($J$11="par",VLOOKUP(A52,'price sheet'!$A$3:$F$162,5,FALSE),VLOOKUP(A52,'price sheet'!$A$3:$F$162,6,FALSE))))</f>
        <v>3.5</v>
      </c>
      <c r="G52" s="138"/>
      <c r="H52" s="461" t="str">
        <f t="shared" si="15"/>
        <v/>
      </c>
      <c r="I52" s="138"/>
      <c r="J52" s="248">
        <f t="shared" si="16"/>
        <v>0</v>
      </c>
      <c r="K52" s="281"/>
      <c r="L52" s="194"/>
      <c r="M52" s="194"/>
      <c r="N52" s="184">
        <f t="shared" si="17"/>
        <v>0</v>
      </c>
      <c r="O52" s="184">
        <f t="shared" si="18"/>
        <v>0</v>
      </c>
      <c r="P52" s="184">
        <f t="shared" si="19"/>
        <v>0</v>
      </c>
      <c r="Q52" s="185">
        <f>IF($J$11="fld",IF(K52&gt;0,J52*$G$124,0),SUM(N52:P52))</f>
        <v>0</v>
      </c>
    </row>
    <row r="53" spans="1:17" s="41" customFormat="1" ht="12" customHeight="1">
      <c r="A53" s="35" t="s">
        <v>452</v>
      </c>
      <c r="B53" s="245" t="s">
        <v>607</v>
      </c>
      <c r="C53" s="61"/>
      <c r="D53" s="61"/>
      <c r="E53" s="37"/>
      <c r="F53" s="39">
        <f>IF($J$11="fld",VLOOKUP(A53,'price sheet'!$A$3:$F$162,4,FALSE),IF($J$11="ret",VLOOKUP(A53,'price sheet'!$A$3:$F$162,6,FALSE),IF($J$11="par",VLOOKUP(A53,'price sheet'!$A$3:$F$162,5,FALSE),VLOOKUP(A53,'price sheet'!$A$3:$F$162,6,FALSE))))</f>
        <v>3.5</v>
      </c>
      <c r="G53" s="138"/>
      <c r="H53" s="461" t="str">
        <f>IF(K53="X","Back Ordered","")</f>
        <v/>
      </c>
      <c r="I53" s="138"/>
      <c r="J53" s="248">
        <f>IF(K53="x",0,IF(F53="n/a","N/A",IF(F53="free","FREE",IF(I53=0,SUM(G53*F53),SUM(I53*F53)))))</f>
        <v>0</v>
      </c>
      <c r="K53" s="281"/>
      <c r="L53" s="194"/>
      <c r="M53" s="194"/>
      <c r="N53" s="184">
        <f t="shared" si="17"/>
        <v>0</v>
      </c>
      <c r="O53" s="184">
        <f t="shared" si="18"/>
        <v>0</v>
      </c>
      <c r="P53" s="184">
        <f t="shared" si="19"/>
        <v>0</v>
      </c>
      <c r="Q53" s="185">
        <f>IF($J$11="fld",IF(K53&gt;0,J53*$G$124,0),SUM(N53:P53))</f>
        <v>0</v>
      </c>
    </row>
    <row r="54" spans="1:17" s="41" customFormat="1" ht="12" customHeight="1">
      <c r="A54" s="35" t="s">
        <v>451</v>
      </c>
      <c r="B54" s="245" t="s">
        <v>606</v>
      </c>
      <c r="C54" s="61"/>
      <c r="D54" s="61"/>
      <c r="E54" s="37"/>
      <c r="F54" s="39">
        <f>IF($J$11="fld",VLOOKUP(A54,'price sheet'!$A$3:$F$162,4,FALSE),IF($J$11="ret",VLOOKUP(A54,'price sheet'!$A$3:$F$162,6,FALSE),IF($J$11="par",VLOOKUP(A54,'price sheet'!$A$3:$F$162,5,FALSE),VLOOKUP(A54,'price sheet'!$A$3:$F$162,6,FALSE))))</f>
        <v>3.5</v>
      </c>
      <c r="G54" s="138"/>
      <c r="H54" s="461" t="str">
        <f>IF(K54="X","Back Ordered","")</f>
        <v/>
      </c>
      <c r="I54" s="138"/>
      <c r="J54" s="248">
        <f>IF(K54="x",0,IF(F54="n/a","N/A",IF(F54="free","FREE",IF(I54=0,SUM(G54*F54),SUM(I54*F54)))))</f>
        <v>0</v>
      </c>
      <c r="K54" s="281"/>
      <c r="L54" s="194"/>
      <c r="M54" s="194"/>
      <c r="N54" s="184">
        <f t="shared" si="17"/>
        <v>0</v>
      </c>
      <c r="O54" s="184">
        <f t="shared" si="18"/>
        <v>0</v>
      </c>
      <c r="P54" s="184">
        <f t="shared" si="19"/>
        <v>0</v>
      </c>
      <c r="Q54" s="185">
        <f>IF($J$11="fld",IF(K54&gt;0,J54*$G$124,0),SUM(N54:P54))</f>
        <v>0</v>
      </c>
    </row>
    <row r="55" spans="1:17" s="41" customFormat="1" ht="12" customHeight="1">
      <c r="A55" s="35" t="s">
        <v>487</v>
      </c>
      <c r="B55" s="245" t="s">
        <v>608</v>
      </c>
      <c r="C55" s="61"/>
      <c r="D55" s="61"/>
      <c r="E55" s="37"/>
      <c r="F55" s="39" t="str">
        <f>IF($J$11="fld",VLOOKUP(A55,'price sheet'!$A$3:$F$162,4,FALSE),IF($J$11="ret",VLOOKUP(A55,'price sheet'!$A$3:$F$162,6,FALSE),IF($J$11="par",VLOOKUP(A55,'price sheet'!$A$3:$F$162,5,FALSE),VLOOKUP(A55,'price sheet'!$A$3:$F$162,6,FALSE))))</f>
        <v>FREE</v>
      </c>
      <c r="G55" s="138"/>
      <c r="H55" s="461"/>
      <c r="I55" s="138"/>
      <c r="J55" s="248" t="str">
        <f t="shared" ref="J55:J61" si="20">IF(K55="x",0,IF(F55="n/a","N/A",IF(F55="free","FREE",IF(I55=0,SUM(G55*F55),SUM(I55*F55)))))</f>
        <v>FREE</v>
      </c>
      <c r="K55" s="281"/>
      <c r="L55" s="194"/>
      <c r="M55" s="194"/>
      <c r="N55" s="184">
        <f t="shared" si="17"/>
        <v>0</v>
      </c>
      <c r="O55" s="184">
        <f t="shared" si="18"/>
        <v>0</v>
      </c>
      <c r="P55" s="184">
        <f t="shared" si="19"/>
        <v>0</v>
      </c>
      <c r="Q55" s="185">
        <f>IF($J$11="fld",IF(K55&gt;0,J55*$G$124,0),SUM(N55:P55))</f>
        <v>0</v>
      </c>
    </row>
    <row r="56" spans="1:17" s="41" customFormat="1" ht="12" customHeight="1">
      <c r="A56" s="35" t="s">
        <v>454</v>
      </c>
      <c r="B56" s="245" t="s">
        <v>609</v>
      </c>
      <c r="C56" s="61"/>
      <c r="D56" s="61"/>
      <c r="E56" s="37"/>
      <c r="F56" s="39">
        <f>IF($J$11="fld",VLOOKUP(A56,'price sheet'!$A$3:$F$162,4,FALSE),IF($J$11="ret",VLOOKUP(A56,'price sheet'!$A$3:$F$162,6,FALSE),IF($J$11="par",VLOOKUP(A56,'price sheet'!$A$3:$F$162,5,FALSE),VLOOKUP(A56,'price sheet'!$A$3:$F$162,6,FALSE))))</f>
        <v>3.5</v>
      </c>
      <c r="G56" s="138"/>
      <c r="H56" s="461" t="str">
        <f t="shared" ref="H56:H61" si="21">IF(K56="X","Back Ordered","")</f>
        <v/>
      </c>
      <c r="I56" s="138"/>
      <c r="J56" s="248">
        <f t="shared" si="20"/>
        <v>0</v>
      </c>
      <c r="K56" s="281"/>
      <c r="L56" s="194"/>
      <c r="M56" s="194"/>
      <c r="N56" s="184">
        <f t="shared" si="17"/>
        <v>0</v>
      </c>
      <c r="O56" s="184">
        <f t="shared" si="18"/>
        <v>0</v>
      </c>
      <c r="P56" s="184">
        <f t="shared" si="19"/>
        <v>0</v>
      </c>
      <c r="Q56" s="185">
        <f>IF($J$11="fld",IF(K56&gt;0,J56*$G$124,0),SUM(N56:P56))</f>
        <v>0</v>
      </c>
    </row>
    <row r="57" spans="1:17" s="41" customFormat="1" ht="12" customHeight="1">
      <c r="A57" s="35" t="s">
        <v>453</v>
      </c>
      <c r="B57" s="245" t="s">
        <v>610</v>
      </c>
      <c r="C57" s="61"/>
      <c r="D57" s="61"/>
      <c r="E57" s="37"/>
      <c r="F57" s="39">
        <f>IF($J$11="fld",VLOOKUP(A57,'price sheet'!$A$3:$F$162,4,FALSE),IF($J$11="ret",VLOOKUP(A57,'price sheet'!$A$3:$F$162,6,FALSE),IF($J$11="par",VLOOKUP(A57,'price sheet'!$A$3:$F$162,5,FALSE),VLOOKUP(A57,'price sheet'!$A$3:$F$162,6,FALSE))))</f>
        <v>3.5</v>
      </c>
      <c r="G57" s="138"/>
      <c r="H57" s="461" t="str">
        <f t="shared" si="21"/>
        <v/>
      </c>
      <c r="I57" s="138"/>
      <c r="J57" s="248">
        <f t="shared" si="20"/>
        <v>0</v>
      </c>
      <c r="K57" s="281"/>
      <c r="L57" s="194"/>
      <c r="M57" s="194"/>
      <c r="N57" s="184">
        <f t="shared" si="17"/>
        <v>0</v>
      </c>
      <c r="O57" s="184">
        <f t="shared" si="18"/>
        <v>0</v>
      </c>
      <c r="P57" s="184">
        <f t="shared" si="19"/>
        <v>0</v>
      </c>
      <c r="Q57" s="185">
        <f>IF($J$11="fld",IF(K57&gt;0,J57*$G$124,0),SUM(N57:P57))</f>
        <v>0</v>
      </c>
    </row>
    <row r="58" spans="1:17" s="41" customFormat="1" ht="12" customHeight="1">
      <c r="A58" s="35" t="s">
        <v>457</v>
      </c>
      <c r="B58" s="245" t="s">
        <v>611</v>
      </c>
      <c r="C58" s="61"/>
      <c r="D58" s="61"/>
      <c r="E58" s="37"/>
      <c r="F58" s="39">
        <f>IF($J$11="fld",VLOOKUP(A58,'price sheet'!$A$3:$F$162,4,FALSE),IF($J$11="ret",VLOOKUP(A58,'price sheet'!$A$3:$F$162,6,FALSE),IF($J$11="par",VLOOKUP(A58,'price sheet'!$A$3:$F$162,5,FALSE),VLOOKUP(A58,'price sheet'!$A$3:$F$162,6,FALSE))))</f>
        <v>4.0999999999999996</v>
      </c>
      <c r="G58" s="138"/>
      <c r="H58" s="461" t="str">
        <f t="shared" si="21"/>
        <v/>
      </c>
      <c r="I58" s="138"/>
      <c r="J58" s="248">
        <f t="shared" si="20"/>
        <v>0</v>
      </c>
      <c r="K58" s="281"/>
      <c r="L58" s="194"/>
      <c r="M58" s="194"/>
      <c r="N58" s="184">
        <f t="shared" si="17"/>
        <v>0</v>
      </c>
      <c r="O58" s="184">
        <f t="shared" si="18"/>
        <v>0</v>
      </c>
      <c r="P58" s="184">
        <f t="shared" si="19"/>
        <v>0</v>
      </c>
      <c r="Q58" s="185">
        <f>IF($J$11="fld",IF(K58&gt;0,J58*$G$124,0),SUM(N58:P58))</f>
        <v>0</v>
      </c>
    </row>
    <row r="59" spans="1:17" s="41" customFormat="1" ht="12" customHeight="1">
      <c r="A59" s="35" t="s">
        <v>456</v>
      </c>
      <c r="B59" s="245" t="s">
        <v>612</v>
      </c>
      <c r="C59" s="61"/>
      <c r="D59" s="61"/>
      <c r="E59" s="37"/>
      <c r="F59" s="39">
        <f>IF($J$11="fld",VLOOKUP(A59,'price sheet'!$A$3:$F$162,4,FALSE),IF($J$11="ret",VLOOKUP(A59,'price sheet'!$A$3:$F$162,6,FALSE),IF($J$11="par",VLOOKUP(A59,'price sheet'!$A$3:$F$162,5,FALSE),VLOOKUP(A59,'price sheet'!$A$3:$F$162,6,FALSE))))</f>
        <v>4.0999999999999996</v>
      </c>
      <c r="G59" s="138"/>
      <c r="H59" s="461" t="str">
        <f t="shared" si="21"/>
        <v/>
      </c>
      <c r="I59" s="138"/>
      <c r="J59" s="248">
        <f t="shared" si="20"/>
        <v>0</v>
      </c>
      <c r="K59" s="281"/>
      <c r="L59" s="194"/>
      <c r="M59" s="194"/>
      <c r="N59" s="184">
        <f t="shared" si="17"/>
        <v>0</v>
      </c>
      <c r="O59" s="184">
        <f t="shared" si="18"/>
        <v>0</v>
      </c>
      <c r="P59" s="184">
        <f t="shared" si="19"/>
        <v>0</v>
      </c>
      <c r="Q59" s="185">
        <f>IF($J$11="fld",IF(K59&gt;0,J59*$G$124,0),SUM(N59:P59))</f>
        <v>0</v>
      </c>
    </row>
    <row r="60" spans="1:17" s="41" customFormat="1" ht="12" customHeight="1">
      <c r="A60" s="35" t="s">
        <v>80</v>
      </c>
      <c r="B60" s="245" t="s">
        <v>600</v>
      </c>
      <c r="C60" s="61"/>
      <c r="D60" s="61"/>
      <c r="E60" s="37"/>
      <c r="F60" s="39">
        <f>IF($J$11="fld",VLOOKUP(A60,'price sheet'!$A$3:$F$162,4,FALSE),IF($J$11="ret",VLOOKUP(A60,'price sheet'!$A$3:$F$162,6,FALSE),IF($J$11="par",VLOOKUP(A60,'price sheet'!$A$3:$F$162,5,FALSE),VLOOKUP(A60,'price sheet'!$A$3:$F$162,6,FALSE))))</f>
        <v>6.8</v>
      </c>
      <c r="G60" s="138"/>
      <c r="H60" s="461" t="str">
        <f t="shared" si="21"/>
        <v/>
      </c>
      <c r="I60" s="138"/>
      <c r="J60" s="248">
        <f t="shared" si="20"/>
        <v>0</v>
      </c>
      <c r="K60" s="281"/>
      <c r="L60" s="194"/>
      <c r="M60" s="194"/>
      <c r="N60" s="184">
        <f t="shared" si="17"/>
        <v>0</v>
      </c>
      <c r="O60" s="184">
        <f t="shared" si="18"/>
        <v>0</v>
      </c>
      <c r="P60" s="184">
        <f t="shared" si="19"/>
        <v>0</v>
      </c>
      <c r="Q60" s="185">
        <f>IF($J$11="fld",IF(K60&gt;0,J60*$G$124,0),SUM(N60:P60))</f>
        <v>0</v>
      </c>
    </row>
    <row r="61" spans="1:17" s="41" customFormat="1" ht="12" customHeight="1">
      <c r="A61" s="35" t="s">
        <v>455</v>
      </c>
      <c r="B61" s="245" t="s">
        <v>599</v>
      </c>
      <c r="C61" s="61"/>
      <c r="D61" s="61"/>
      <c r="E61" s="37"/>
      <c r="F61" s="39">
        <f>IF($J$11="fld",VLOOKUP(A61,'price sheet'!$A$3:$F$162,4,FALSE),IF($J$11="ret",VLOOKUP(A61,'price sheet'!$A$3:$F$162,6,FALSE),IF($J$11="par",VLOOKUP(A61,'price sheet'!$A$3:$F$162,5,FALSE),VLOOKUP(A61,'price sheet'!$A$3:$F$162,6,FALSE))))</f>
        <v>8.8000000000000007</v>
      </c>
      <c r="G61" s="138"/>
      <c r="H61" s="461" t="str">
        <f t="shared" si="21"/>
        <v/>
      </c>
      <c r="I61" s="138"/>
      <c r="J61" s="248">
        <f t="shared" si="20"/>
        <v>0</v>
      </c>
      <c r="K61" s="281"/>
      <c r="L61" s="194"/>
      <c r="M61" s="194"/>
      <c r="N61" s="184">
        <f t="shared" si="17"/>
        <v>0</v>
      </c>
      <c r="O61" s="184">
        <f t="shared" si="18"/>
        <v>0</v>
      </c>
      <c r="P61" s="184">
        <f t="shared" si="19"/>
        <v>0</v>
      </c>
      <c r="Q61" s="185">
        <f>IF($J$11="fld",IF(K61&gt;0,J61*$G$124,0),SUM(N61:P61))</f>
        <v>0</v>
      </c>
    </row>
    <row r="62" spans="1:17" s="33" customFormat="1" ht="15.75">
      <c r="A62" s="351"/>
      <c r="B62" s="565" t="s">
        <v>87</v>
      </c>
      <c r="C62" s="566"/>
      <c r="D62" s="566"/>
      <c r="E62" s="567"/>
      <c r="F62" s="352"/>
      <c r="G62" s="353"/>
      <c r="H62" s="353"/>
      <c r="I62" s="353"/>
      <c r="J62" s="370">
        <f>SUM(J63:J75)</f>
        <v>0</v>
      </c>
      <c r="K62" s="447"/>
      <c r="L62" s="193"/>
      <c r="M62" s="193"/>
      <c r="N62" s="184">
        <f t="shared" si="17"/>
        <v>0</v>
      </c>
      <c r="O62" s="184">
        <f t="shared" si="18"/>
        <v>0</v>
      </c>
      <c r="P62" s="184">
        <f t="shared" si="19"/>
        <v>0</v>
      </c>
      <c r="Q62" s="185">
        <f>IF($J$11="fld",IF(K62&gt;0,J62*$G$124,0),SUM(N62:P62))</f>
        <v>0</v>
      </c>
    </row>
    <row r="63" spans="1:17" s="19" customFormat="1" ht="12" customHeight="1">
      <c r="A63" s="35" t="s">
        <v>458</v>
      </c>
      <c r="B63" s="249" t="s">
        <v>592</v>
      </c>
      <c r="C63" s="60"/>
      <c r="D63" s="61"/>
      <c r="E63" s="20"/>
      <c r="F63" s="39">
        <f>IF($J$11="fld",VLOOKUP(A63,'price sheet'!$A$3:$F$162,4,FALSE),IF($J$11="ret",VLOOKUP(A63,'price sheet'!$A$3:$F$162,6,FALSE),IF($J$11="par",VLOOKUP(A63,'price sheet'!$A$3:$F$162,5,FALSE),VLOOKUP(A63,'price sheet'!$A$3:$F$162,6,FALSE))))</f>
        <v>2.2000000000000002</v>
      </c>
      <c r="G63" s="138"/>
      <c r="H63" s="461" t="str">
        <f>IF(K63="X","Back Ordered","")</f>
        <v/>
      </c>
      <c r="I63" s="138"/>
      <c r="J63" s="248">
        <f t="shared" ref="J63:J70" si="22">IF(K63="x",0,IF(F63="n/a","N/A",IF(F63="free","FREE",IF(I63=0,SUM(G63*F63),SUM(I63*F63)))))</f>
        <v>0</v>
      </c>
      <c r="K63" s="450"/>
      <c r="L63" s="184"/>
      <c r="M63" s="184"/>
      <c r="N63" s="184">
        <f t="shared" si="17"/>
        <v>0</v>
      </c>
      <c r="O63" s="184">
        <f t="shared" si="18"/>
        <v>0</v>
      </c>
      <c r="P63" s="184">
        <f t="shared" si="19"/>
        <v>0</v>
      </c>
      <c r="Q63" s="185">
        <f>IF($J$11="fld",IF(K63&gt;0,J63*$G$124,0),SUM(N63:P63))</f>
        <v>0</v>
      </c>
    </row>
    <row r="64" spans="1:17" s="19" customFormat="1" ht="12" customHeight="1">
      <c r="A64" s="35" t="s">
        <v>459</v>
      </c>
      <c r="B64" s="249" t="s">
        <v>595</v>
      </c>
      <c r="C64" s="60"/>
      <c r="D64" s="61"/>
      <c r="E64" s="20"/>
      <c r="F64" s="39">
        <f>IF($J$11="fld",VLOOKUP(A64,'price sheet'!$A$3:$F$162,4,FALSE),IF($J$11="ret",VLOOKUP(A64,'price sheet'!$A$3:$F$162,6,FALSE),IF($J$11="par",VLOOKUP(A64,'price sheet'!$A$3:$F$162,5,FALSE),VLOOKUP(A64,'price sheet'!$A$3:$F$162,6,FALSE))))</f>
        <v>2.2000000000000002</v>
      </c>
      <c r="G64" s="138"/>
      <c r="H64" s="461" t="str">
        <f t="shared" ref="H64:H70" si="23">IF(K64="X","Back Ordered","")</f>
        <v/>
      </c>
      <c r="I64" s="138"/>
      <c r="J64" s="248">
        <f t="shared" si="22"/>
        <v>0</v>
      </c>
      <c r="K64" s="281"/>
      <c r="L64" s="194"/>
      <c r="M64" s="194"/>
      <c r="N64" s="184">
        <f t="shared" si="17"/>
        <v>0</v>
      </c>
      <c r="O64" s="184">
        <f t="shared" si="18"/>
        <v>0</v>
      </c>
      <c r="P64" s="184">
        <f t="shared" si="19"/>
        <v>0</v>
      </c>
      <c r="Q64" s="185">
        <f>IF($J$11="fld",IF(K64&gt;0,J64*$G$124,0),SUM(N64:P64))</f>
        <v>0</v>
      </c>
    </row>
    <row r="65" spans="1:17" s="19" customFormat="1" ht="12" customHeight="1">
      <c r="A65" s="35" t="s">
        <v>460</v>
      </c>
      <c r="B65" s="249" t="s">
        <v>593</v>
      </c>
      <c r="C65" s="60"/>
      <c r="D65" s="61"/>
      <c r="E65" s="20"/>
      <c r="F65" s="39">
        <f>IF($J$11="fld",VLOOKUP(A65,'price sheet'!$A$3:$F$162,4,FALSE),IF($J$11="ret",VLOOKUP(A65,'price sheet'!$A$3:$F$162,6,FALSE),IF($J$11="par",VLOOKUP(A65,'price sheet'!$A$3:$F$162,5,FALSE),VLOOKUP(A65,'price sheet'!$A$3:$F$162,6,FALSE))))</f>
        <v>2.2000000000000002</v>
      </c>
      <c r="G65" s="138"/>
      <c r="H65" s="461" t="str">
        <f t="shared" si="23"/>
        <v/>
      </c>
      <c r="I65" s="138"/>
      <c r="J65" s="248">
        <f t="shared" si="22"/>
        <v>0</v>
      </c>
      <c r="K65" s="281"/>
      <c r="L65" s="194"/>
      <c r="M65" s="194"/>
      <c r="N65" s="184">
        <f t="shared" si="17"/>
        <v>0</v>
      </c>
      <c r="O65" s="184">
        <f t="shared" si="18"/>
        <v>0</v>
      </c>
      <c r="P65" s="184">
        <f t="shared" si="19"/>
        <v>0</v>
      </c>
      <c r="Q65" s="185">
        <f>IF($J$11="fld",IF(K65&gt;0,J65*$G$124,0),SUM(N65:P65))</f>
        <v>0</v>
      </c>
    </row>
    <row r="66" spans="1:17" s="41" customFormat="1" ht="12" customHeight="1">
      <c r="A66" s="35" t="s">
        <v>461</v>
      </c>
      <c r="B66" s="249" t="s">
        <v>594</v>
      </c>
      <c r="C66" s="60"/>
      <c r="D66" s="61"/>
      <c r="E66" s="38"/>
      <c r="F66" s="39">
        <f>IF($J$11="fld",VLOOKUP(A66,'price sheet'!$A$3:$F$162,4,FALSE),IF($J$11="ret",VLOOKUP(A66,'price sheet'!$A$3:$F$162,6,FALSE),IF($J$11="par",VLOOKUP(A66,'price sheet'!$A$3:$F$162,5,FALSE),VLOOKUP(A66,'price sheet'!$A$3:$F$162,6,FALSE))))</f>
        <v>2.2000000000000002</v>
      </c>
      <c r="G66" s="138"/>
      <c r="H66" s="461" t="str">
        <f t="shared" si="23"/>
        <v/>
      </c>
      <c r="I66" s="138"/>
      <c r="J66" s="248">
        <f t="shared" si="22"/>
        <v>0</v>
      </c>
      <c r="K66" s="281"/>
      <c r="L66" s="194"/>
      <c r="M66" s="194"/>
      <c r="N66" s="184">
        <f t="shared" si="17"/>
        <v>0</v>
      </c>
      <c r="O66" s="184">
        <f t="shared" si="18"/>
        <v>0</v>
      </c>
      <c r="P66" s="184">
        <f t="shared" si="19"/>
        <v>0</v>
      </c>
      <c r="Q66" s="185">
        <f>IF($J$11="fld",IF(K66&gt;0,J66*$G$124,0),SUM(N66:P66))</f>
        <v>0</v>
      </c>
    </row>
    <row r="67" spans="1:17" s="41" customFormat="1" ht="12" customHeight="1">
      <c r="A67" s="35" t="s">
        <v>462</v>
      </c>
      <c r="B67" s="249" t="s">
        <v>596</v>
      </c>
      <c r="C67" s="60"/>
      <c r="D67" s="61"/>
      <c r="E67" s="38"/>
      <c r="F67" s="39">
        <f>IF($J$11="fld",VLOOKUP(A67,'price sheet'!$A$3:$F$162,4,FALSE),IF($J$11="ret",VLOOKUP(A67,'price sheet'!$A$3:$F$162,6,FALSE),IF($J$11="par",VLOOKUP(A67,'price sheet'!$A$3:$F$162,5,FALSE),VLOOKUP(A67,'price sheet'!$A$3:$F$162,6,FALSE))))</f>
        <v>2.2000000000000002</v>
      </c>
      <c r="G67" s="138"/>
      <c r="H67" s="461" t="str">
        <f t="shared" si="23"/>
        <v/>
      </c>
      <c r="I67" s="138"/>
      <c r="J67" s="248">
        <f t="shared" si="22"/>
        <v>0</v>
      </c>
      <c r="K67" s="281"/>
      <c r="L67" s="194"/>
      <c r="M67" s="194"/>
      <c r="N67" s="184">
        <f t="shared" si="17"/>
        <v>0</v>
      </c>
      <c r="O67" s="184">
        <f t="shared" si="18"/>
        <v>0</v>
      </c>
      <c r="P67" s="184">
        <f t="shared" si="19"/>
        <v>0</v>
      </c>
      <c r="Q67" s="185">
        <f>IF($J$11="fld",IF(K67&gt;0,J67*$G$124,0),SUM(N67:P67))</f>
        <v>0</v>
      </c>
    </row>
    <row r="68" spans="1:17" s="41" customFormat="1" ht="12" customHeight="1">
      <c r="A68" s="35" t="s">
        <v>463</v>
      </c>
      <c r="B68" s="249" t="s">
        <v>598</v>
      </c>
      <c r="C68" s="245"/>
      <c r="D68" s="280"/>
      <c r="E68" s="279"/>
      <c r="F68" s="39">
        <f>IF($J$11="fld",VLOOKUP(A68,'price sheet'!$A$3:$F$162,4,FALSE),IF($J$11="ret",VLOOKUP(A68,'price sheet'!$A$3:$F$162,6,FALSE),IF($J$11="par",VLOOKUP(A68,'price sheet'!$A$3:$F$162,5,FALSE),VLOOKUP(A68,'price sheet'!$A$3:$F$162,6,FALSE))))</f>
        <v>2.2000000000000002</v>
      </c>
      <c r="G68" s="138"/>
      <c r="H68" s="461" t="str">
        <f t="shared" si="23"/>
        <v/>
      </c>
      <c r="I68" s="138"/>
      <c r="J68" s="248">
        <f t="shared" si="22"/>
        <v>0</v>
      </c>
      <c r="K68" s="281"/>
      <c r="L68" s="194"/>
      <c r="M68" s="194"/>
      <c r="N68" s="184">
        <f t="shared" si="17"/>
        <v>0</v>
      </c>
      <c r="O68" s="184">
        <f t="shared" si="18"/>
        <v>0</v>
      </c>
      <c r="P68" s="184">
        <f t="shared" si="19"/>
        <v>0</v>
      </c>
      <c r="Q68" s="185">
        <f>IF($J$11="fld",IF(K68&gt;0,J68*$G$124,0),SUM(N68:P68))</f>
        <v>0</v>
      </c>
    </row>
    <row r="69" spans="1:17" s="41" customFormat="1" ht="12" customHeight="1">
      <c r="A69" s="35" t="s">
        <v>465</v>
      </c>
      <c r="B69" s="249" t="s">
        <v>591</v>
      </c>
      <c r="C69" s="60"/>
      <c r="D69" s="61"/>
      <c r="E69" s="38"/>
      <c r="F69" s="39">
        <f>IF($J$11="fld",VLOOKUP(A69,'price sheet'!$A$3:$F$162,4,FALSE),IF($J$11="ret",VLOOKUP(A69,'price sheet'!$A$3:$F$162,6,FALSE),IF($J$11="par",VLOOKUP(A69,'price sheet'!$A$3:$F$162,5,FALSE),VLOOKUP(A69,'price sheet'!$A$3:$F$162,6,FALSE))))</f>
        <v>2.2000000000000002</v>
      </c>
      <c r="G69" s="138"/>
      <c r="H69" s="461" t="str">
        <f t="shared" si="23"/>
        <v/>
      </c>
      <c r="I69" s="138"/>
      <c r="J69" s="248">
        <f t="shared" si="22"/>
        <v>0</v>
      </c>
      <c r="K69" s="281"/>
      <c r="L69" s="194"/>
      <c r="M69" s="194"/>
      <c r="N69" s="184">
        <f t="shared" si="17"/>
        <v>0</v>
      </c>
      <c r="O69" s="184">
        <f t="shared" si="18"/>
        <v>0</v>
      </c>
      <c r="P69" s="184">
        <f t="shared" si="19"/>
        <v>0</v>
      </c>
      <c r="Q69" s="185">
        <f>IF($J$11="fld",IF(K69&gt;0,J69*$G$124,0),SUM(N69:P69))</f>
        <v>0</v>
      </c>
    </row>
    <row r="70" spans="1:17" s="41" customFormat="1" ht="12" customHeight="1">
      <c r="A70" s="35" t="s">
        <v>464</v>
      </c>
      <c r="B70" s="249" t="s">
        <v>597</v>
      </c>
      <c r="C70" s="60"/>
      <c r="D70" s="61"/>
      <c r="E70" s="279"/>
      <c r="F70" s="39">
        <f>IF($J$11="fld",VLOOKUP(A70,'price sheet'!$A$3:$F$162,4,FALSE),IF($J$11="ret",VLOOKUP(A70,'price sheet'!$A$3:$F$162,6,FALSE),IF($J$11="par",VLOOKUP(A70,'price sheet'!$A$3:$F$162,5,FALSE),VLOOKUP(A70,'price sheet'!$A$3:$F$162,6,FALSE))))</f>
        <v>2.2000000000000002</v>
      </c>
      <c r="G70" s="138"/>
      <c r="H70" s="461" t="str">
        <f t="shared" si="23"/>
        <v/>
      </c>
      <c r="I70" s="138"/>
      <c r="J70" s="248">
        <f t="shared" si="22"/>
        <v>0</v>
      </c>
      <c r="K70" s="281"/>
      <c r="L70" s="194"/>
      <c r="M70" s="194"/>
      <c r="N70" s="184">
        <f t="shared" si="17"/>
        <v>0</v>
      </c>
      <c r="O70" s="184">
        <f t="shared" si="18"/>
        <v>0</v>
      </c>
      <c r="P70" s="184">
        <f t="shared" si="19"/>
        <v>0</v>
      </c>
      <c r="Q70" s="185">
        <f>IF($J$11="fld",IF(K70&gt;0,J70*$G$124,0),SUM(N70:P70))</f>
        <v>0</v>
      </c>
    </row>
    <row r="71" spans="1:17" s="41" customFormat="1" ht="12" customHeight="1">
      <c r="A71" s="244" t="s">
        <v>550</v>
      </c>
      <c r="B71" s="245" t="s">
        <v>551</v>
      </c>
      <c r="C71" s="61"/>
      <c r="D71" s="61"/>
      <c r="E71" s="38"/>
      <c r="F71" s="39">
        <f>IF($J$11="fld",VLOOKUP(A71,'price sheet'!$A$3:$F$162,4,FALSE),IF($J$11="ret",VLOOKUP(A71,'price sheet'!$A$3:$F$162,6,FALSE),IF($J$11="par",VLOOKUP(A71,'price sheet'!$A$3:$F$162,5,FALSE),VLOOKUP(A71,'price sheet'!$A$3:$F$162,6,FALSE))))</f>
        <v>4.4000000000000004</v>
      </c>
      <c r="G71" s="138"/>
      <c r="H71" s="461" t="str">
        <f>IF(K71="X","Back Ordered","")</f>
        <v/>
      </c>
      <c r="I71" s="138"/>
      <c r="J71" s="248">
        <f>IF(K71="x",0,IF(F71="n/a","N/A",IF(F71="free","FREE",IF(I71=0,SUM(G71*F71),SUM(I71*F71)))))</f>
        <v>0</v>
      </c>
      <c r="K71" s="281"/>
      <c r="L71" s="194"/>
      <c r="M71" s="194"/>
      <c r="N71" s="184">
        <f t="shared" si="17"/>
        <v>0</v>
      </c>
      <c r="O71" s="184">
        <f t="shared" si="18"/>
        <v>0</v>
      </c>
      <c r="P71" s="184">
        <f t="shared" si="19"/>
        <v>0</v>
      </c>
      <c r="Q71" s="185">
        <f>IF($J$11="fld",IF(K71&gt;0,J71*$G$124,0),SUM(N71:P71))</f>
        <v>0</v>
      </c>
    </row>
    <row r="72" spans="1:17" s="41" customFormat="1" ht="12" customHeight="1">
      <c r="A72" s="244" t="s">
        <v>589</v>
      </c>
      <c r="B72" s="245" t="s">
        <v>590</v>
      </c>
      <c r="C72" s="61"/>
      <c r="D72" s="61"/>
      <c r="E72" s="38"/>
      <c r="F72" s="39">
        <f>IF($J$11="fld",VLOOKUP(A72,'price sheet'!$A$3:$F$162,4,FALSE),IF($J$11="ret",VLOOKUP(A72,'price sheet'!$A$3:$F$162,6,FALSE),IF($J$11="par",VLOOKUP(A72,'price sheet'!$A$3:$F$162,5,FALSE),VLOOKUP(A72,'price sheet'!$A$3:$F$162,6,FALSE))))</f>
        <v>4.4000000000000004</v>
      </c>
      <c r="G72" s="138"/>
      <c r="H72" s="461"/>
      <c r="I72" s="138"/>
      <c r="J72" s="248">
        <f>IF(K72="x",0,IF(F72="n/a","N/A",IF(F72="free","FREE",IF(I72=0,SUM(G72*F72),SUM(I72*F72)))))</f>
        <v>0</v>
      </c>
      <c r="K72" s="281"/>
      <c r="L72" s="194"/>
      <c r="M72" s="194"/>
      <c r="N72" s="184">
        <f t="shared" si="17"/>
        <v>0</v>
      </c>
      <c r="O72" s="184">
        <f t="shared" si="18"/>
        <v>0</v>
      </c>
      <c r="P72" s="184">
        <f t="shared" si="19"/>
        <v>0</v>
      </c>
      <c r="Q72" s="185">
        <f>IF($J$11="fld",IF(K72&gt;0,J72*$G$124,0),SUM(N72:P72))</f>
        <v>0</v>
      </c>
    </row>
    <row r="73" spans="1:17" s="41" customFormat="1" ht="12" customHeight="1">
      <c r="A73" s="244" t="s">
        <v>621</v>
      </c>
      <c r="B73" s="245" t="s">
        <v>623</v>
      </c>
      <c r="C73" s="61"/>
      <c r="D73" s="61"/>
      <c r="E73" s="38"/>
      <c r="F73" s="39">
        <f>IF($J$11="fld",VLOOKUP(A73,'price sheet'!$A$3:$F$162,4,FALSE),IF($J$11="ret",VLOOKUP(A73,'price sheet'!$A$3:$F$162,6,FALSE),IF($J$11="par",VLOOKUP(A73,'price sheet'!$A$3:$F$162,5,FALSE),VLOOKUP(A73,'price sheet'!$A$3:$F$162,6,FALSE))))</f>
        <v>4.4000000000000004</v>
      </c>
      <c r="G73" s="138"/>
      <c r="H73" s="461" t="str">
        <f>IF(K73="X","Back Ordered","")</f>
        <v/>
      </c>
      <c r="I73" s="138"/>
      <c r="J73" s="248">
        <f>IF(K73="x",0,IF(F73="n/a","N/A",IF(F73="free","FREE",IF(I73=0,SUM(G73*F73),SUM(I73*F73)))))</f>
        <v>0</v>
      </c>
      <c r="K73" s="281"/>
      <c r="L73" s="194"/>
      <c r="M73" s="194"/>
      <c r="N73" s="184">
        <f t="shared" si="17"/>
        <v>0</v>
      </c>
      <c r="O73" s="184">
        <f t="shared" si="18"/>
        <v>0</v>
      </c>
      <c r="P73" s="184">
        <f t="shared" si="19"/>
        <v>0</v>
      </c>
      <c r="Q73" s="185">
        <f>IF($J$11="fld",IF(K73&gt;0,J73*$G$124,0),SUM(N73:P73))</f>
        <v>0</v>
      </c>
    </row>
    <row r="74" spans="1:17" s="41" customFormat="1" ht="12" customHeight="1">
      <c r="A74" s="244" t="s">
        <v>622</v>
      </c>
      <c r="B74" s="245" t="s">
        <v>624</v>
      </c>
      <c r="C74" s="61"/>
      <c r="D74" s="61"/>
      <c r="E74" s="38"/>
      <c r="F74" s="39">
        <f>IF($J$11="fld",VLOOKUP(A74,'price sheet'!$A$3:$F$162,4,FALSE),IF($J$11="ret",VLOOKUP(A74,'price sheet'!$A$3:$F$162,6,FALSE),IF($J$11="par",VLOOKUP(A74,'price sheet'!$A$3:$F$162,5,FALSE),VLOOKUP(A74,'price sheet'!$A$3:$F$162,6,FALSE))))</f>
        <v>7</v>
      </c>
      <c r="G74" s="138"/>
      <c r="H74" s="461"/>
      <c r="I74" s="138"/>
      <c r="J74" s="248">
        <f>IF(K74="x",0,IF(F74="n/a","N/A",IF(F74="free","FREE",IF(I74=0,SUM(G74*F74),SUM(I74*F74)))))</f>
        <v>0</v>
      </c>
      <c r="K74" s="281"/>
      <c r="L74" s="194"/>
      <c r="M74" s="194"/>
      <c r="N74" s="184">
        <f t="shared" si="17"/>
        <v>0</v>
      </c>
      <c r="O74" s="184">
        <f t="shared" si="18"/>
        <v>0</v>
      </c>
      <c r="P74" s="184">
        <f t="shared" si="19"/>
        <v>0</v>
      </c>
      <c r="Q74" s="185">
        <f>IF($J$11="fld",IF(K74&gt;0,J74*$G$124,0),SUM(N74:P74))</f>
        <v>0</v>
      </c>
    </row>
    <row r="75" spans="1:17" s="41" customFormat="1" ht="12" customHeight="1">
      <c r="A75" s="244" t="s">
        <v>647</v>
      </c>
      <c r="B75" s="245" t="s">
        <v>648</v>
      </c>
      <c r="C75" s="61"/>
      <c r="D75" s="61"/>
      <c r="E75" s="38"/>
      <c r="F75" s="39">
        <f>IF($J$11="fld",VLOOKUP(A75,'price sheet'!$A$3:$F$162,4,FALSE),IF($J$11="ret",VLOOKUP(A75,'price sheet'!$A$3:$F$162,6,FALSE),IF($J$11="par",VLOOKUP(A75,'price sheet'!$A$3:$F$162,5,FALSE),VLOOKUP(A75,'price sheet'!$A$3:$F$162,6,FALSE))))</f>
        <v>7</v>
      </c>
      <c r="G75" s="138"/>
      <c r="H75" s="461"/>
      <c r="I75" s="138"/>
      <c r="J75" s="248">
        <f>IF(K75="x",0,IF(F75="n/a","N/A",IF(F75="free","FREE",IF(I75=0,SUM(G75*F75),SUM(I75*F75)))))</f>
        <v>0</v>
      </c>
      <c r="K75" s="281"/>
      <c r="L75" s="194"/>
      <c r="M75" s="194"/>
      <c r="N75" s="184">
        <f t="shared" si="17"/>
        <v>0</v>
      </c>
      <c r="O75" s="184">
        <f t="shared" si="18"/>
        <v>0</v>
      </c>
      <c r="P75" s="184">
        <f t="shared" si="19"/>
        <v>0</v>
      </c>
      <c r="Q75" s="185">
        <f>IF($J$11="fld",IF(K75&gt;0,J75*$G$124,0),SUM(N75:P75))</f>
        <v>0</v>
      </c>
    </row>
    <row r="76" spans="1:17" s="33" customFormat="1" ht="15.75">
      <c r="A76" s="354"/>
      <c r="B76" s="571" t="s">
        <v>479</v>
      </c>
      <c r="C76" s="572"/>
      <c r="D76" s="572"/>
      <c r="E76" s="573"/>
      <c r="F76" s="355"/>
      <c r="G76" s="356"/>
      <c r="H76" s="356"/>
      <c r="I76" s="356"/>
      <c r="J76" s="371">
        <f>SUM(J77:J93)</f>
        <v>0</v>
      </c>
      <c r="K76" s="447"/>
      <c r="L76" s="193"/>
      <c r="M76" s="193"/>
      <c r="N76" s="184"/>
      <c r="O76" s="184"/>
      <c r="P76" s="184"/>
      <c r="Q76" s="185"/>
    </row>
    <row r="77" spans="1:17" s="41" customFormat="1" ht="12" hidden="1" customHeight="1">
      <c r="A77" s="35" t="s">
        <v>107</v>
      </c>
      <c r="B77" s="58" t="s">
        <v>126</v>
      </c>
      <c r="C77" s="60"/>
      <c r="D77" s="61"/>
      <c r="E77" s="38"/>
      <c r="F77" s="39">
        <f>IF($J$11="fld",VLOOKUP(A77,'price sheet'!$A$3:$F$162,4,FALSE),IF($J$11="ret",VLOOKUP(A77,'price sheet'!$A$3:$F$162,6,FALSE),IF($J$11="par",VLOOKUP(A77,'price sheet'!$A$3:$F$162,5,FALSE),VLOOKUP(A77,'price sheet'!$A$3:$F$162,6,FALSE))))</f>
        <v>9</v>
      </c>
      <c r="G77" s="138"/>
      <c r="H77" s="461" t="str">
        <f>IF(K77="X","Back Ordered","")</f>
        <v/>
      </c>
      <c r="I77" s="138"/>
      <c r="J77" s="248">
        <f t="shared" ref="J77:J93" si="24">IF(K77="x",0,IF(F77="n/a","N/A",IF(F77="free","FREE",IF(I77=0,SUM(G77*F77),SUM(I77*F77)))))</f>
        <v>0</v>
      </c>
      <c r="K77" s="281"/>
      <c r="L77" s="194"/>
      <c r="M77" s="194"/>
      <c r="N77" s="184">
        <f t="shared" ref="N77:N93" si="25">IF($J$11="ret",IF(G77&gt;9,J77*15%,0),0)</f>
        <v>0</v>
      </c>
      <c r="O77" s="184">
        <f t="shared" ref="O77:O93" si="26">IF($J$11="ret",IF(G77&gt;49,J77*10%,0),0)</f>
        <v>0</v>
      </c>
      <c r="P77" s="184">
        <f t="shared" ref="P77:P93" si="27">IF($J$11="ret",IF(G77&gt;99,J77*5%,0),0)</f>
        <v>0</v>
      </c>
      <c r="Q77" s="185">
        <f>IF($J$11="fld",IF(K77&gt;0,J77*$G$124,0),SUM(N77:P77))</f>
        <v>0</v>
      </c>
    </row>
    <row r="78" spans="1:17" s="41" customFormat="1" ht="12" customHeight="1">
      <c r="A78" s="244" t="s">
        <v>517</v>
      </c>
      <c r="B78" s="249" t="s">
        <v>582</v>
      </c>
      <c r="C78" s="60"/>
      <c r="D78" s="61"/>
      <c r="E78" s="38"/>
      <c r="F78" s="39">
        <f>IF($J$11="fld",VLOOKUP(A78,'price sheet'!$A$3:$F$162,4,FALSE),IF($J$11="ret",VLOOKUP(A78,'price sheet'!$A$3:$F$162,6,FALSE),IF($J$11="par",VLOOKUP(A78,'price sheet'!$A$3:$F$162,5,FALSE),VLOOKUP(A78,'price sheet'!$A$3:$F$162,6,FALSE))))</f>
        <v>2.2000000000000002</v>
      </c>
      <c r="G78" s="138"/>
      <c r="H78" s="461" t="str">
        <f>IF(K78="X","Back Ordered","")</f>
        <v/>
      </c>
      <c r="I78" s="138"/>
      <c r="J78" s="248">
        <f t="shared" si="24"/>
        <v>0</v>
      </c>
      <c r="K78" s="281"/>
      <c r="L78" s="194"/>
      <c r="M78" s="194"/>
      <c r="N78" s="184">
        <f t="shared" si="25"/>
        <v>0</v>
      </c>
      <c r="O78" s="184">
        <f t="shared" si="26"/>
        <v>0</v>
      </c>
      <c r="P78" s="184">
        <f t="shared" si="27"/>
        <v>0</v>
      </c>
      <c r="Q78" s="185">
        <f>IF($J$11="fld",IF(K78&gt;0,J78*$G$124,0),SUM(N78:P78))</f>
        <v>0</v>
      </c>
    </row>
    <row r="79" spans="1:17" s="41" customFormat="1" ht="12" customHeight="1">
      <c r="A79" s="244" t="s">
        <v>114</v>
      </c>
      <c r="B79" s="249" t="s">
        <v>576</v>
      </c>
      <c r="C79" s="60"/>
      <c r="D79" s="61"/>
      <c r="E79" s="20"/>
      <c r="F79" s="39">
        <f>IF($J$11="fld",VLOOKUP(A79,'price sheet'!$A$3:$F$162,4,FALSE),IF($J$11="ret",VLOOKUP(A79,'price sheet'!$A$3:$F$162,6,FALSE),IF($J$11="par",VLOOKUP(A79,'price sheet'!$A$3:$F$162,5,FALSE),VLOOKUP(A79,'price sheet'!$A$3:$F$162,6,FALSE))))</f>
        <v>0</v>
      </c>
      <c r="G79" s="138"/>
      <c r="H79" s="461"/>
      <c r="I79" s="138"/>
      <c r="J79" s="248">
        <f t="shared" si="24"/>
        <v>0</v>
      </c>
      <c r="K79" s="451"/>
      <c r="L79" s="194"/>
      <c r="M79" s="194"/>
      <c r="N79" s="184">
        <f t="shared" si="25"/>
        <v>0</v>
      </c>
      <c r="O79" s="184">
        <f t="shared" si="26"/>
        <v>0</v>
      </c>
      <c r="P79" s="184">
        <f t="shared" si="27"/>
        <v>0</v>
      </c>
      <c r="Q79" s="185">
        <f>IF($J$11="fld",IF(K79&gt;0,J79*$G$124,0),SUM(N79:P79))</f>
        <v>0</v>
      </c>
    </row>
    <row r="80" spans="1:17" s="41" customFormat="1" ht="12" customHeight="1">
      <c r="A80" s="35" t="s">
        <v>235</v>
      </c>
      <c r="B80" s="58" t="s">
        <v>262</v>
      </c>
      <c r="C80" s="60"/>
      <c r="D80" s="61"/>
      <c r="E80" s="38"/>
      <c r="F80" s="39">
        <f>IF($J$11="fld",VLOOKUP(A80,'price sheet'!$A$3:$F$162,4,FALSE),IF($J$11="ret",VLOOKUP(A80,'price sheet'!$A$3:$F$162,6,FALSE),IF($J$11="par",VLOOKUP(A80,'price sheet'!$A$3:$F$162,5,FALSE),VLOOKUP(A80,'price sheet'!$A$3:$F$162,6,FALSE))))</f>
        <v>12.7</v>
      </c>
      <c r="G80" s="138"/>
      <c r="H80" s="461" t="str">
        <f>IF(K80="X","Back Ordered","")</f>
        <v/>
      </c>
      <c r="I80" s="138"/>
      <c r="J80" s="248">
        <f t="shared" si="24"/>
        <v>0</v>
      </c>
      <c r="K80" s="281"/>
      <c r="L80" s="194"/>
      <c r="M80" s="194"/>
      <c r="N80" s="184">
        <f t="shared" si="25"/>
        <v>0</v>
      </c>
      <c r="O80" s="184">
        <f t="shared" si="26"/>
        <v>0</v>
      </c>
      <c r="P80" s="184">
        <f t="shared" si="27"/>
        <v>0</v>
      </c>
      <c r="Q80" s="185">
        <f>IF($J$11="fld",IF(K80&gt;0,J80*$G$124,0),SUM(N80:P80))</f>
        <v>0</v>
      </c>
    </row>
    <row r="81" spans="1:17" s="41" customFormat="1" ht="12" customHeight="1">
      <c r="A81" s="35" t="s">
        <v>111</v>
      </c>
      <c r="B81" s="58" t="s">
        <v>128</v>
      </c>
      <c r="C81" s="60"/>
      <c r="D81" s="61"/>
      <c r="E81" s="38"/>
      <c r="F81" s="39">
        <f>IF($J$11="fld",VLOOKUP(A81,'price sheet'!$A$3:$F$162,4,FALSE),IF($J$11="ret",VLOOKUP(A81,'price sheet'!$A$3:$F$162,6,FALSE),IF($J$11="par",VLOOKUP(A81,'price sheet'!$A$3:$F$162,5,FALSE),VLOOKUP(A81,'price sheet'!$A$3:$F$162,6,FALSE))))</f>
        <v>5.8</v>
      </c>
      <c r="G81" s="138"/>
      <c r="H81" s="461"/>
      <c r="I81" s="138"/>
      <c r="J81" s="248">
        <f t="shared" si="24"/>
        <v>0</v>
      </c>
      <c r="K81" s="281"/>
      <c r="L81" s="194"/>
      <c r="M81" s="194"/>
      <c r="N81" s="184">
        <f t="shared" si="25"/>
        <v>0</v>
      </c>
      <c r="O81" s="184">
        <f t="shared" si="26"/>
        <v>0</v>
      </c>
      <c r="P81" s="184">
        <f t="shared" si="27"/>
        <v>0</v>
      </c>
      <c r="Q81" s="185">
        <f>IF($J$11="fld",IF(K81&gt;0,J81*$G$124,0),SUM(N81:P81))</f>
        <v>0</v>
      </c>
    </row>
    <row r="82" spans="1:17" s="41" customFormat="1" ht="12" customHeight="1">
      <c r="A82" s="244" t="s">
        <v>577</v>
      </c>
      <c r="B82" s="249" t="s">
        <v>575</v>
      </c>
      <c r="C82" s="60"/>
      <c r="D82" s="61"/>
      <c r="E82" s="38"/>
      <c r="F82" s="39">
        <f>IF($J$11="fld",VLOOKUP(A82,'price sheet'!$A$3:$F$162,4,FALSE),IF($J$11="ret",VLOOKUP(A82,'price sheet'!$A$3:$F$162,6,FALSE),IF($J$11="par",VLOOKUP(A82,'price sheet'!$A$3:$F$162,5,FALSE),VLOOKUP(A82,'price sheet'!$A$3:$F$162,6,FALSE))))</f>
        <v>3.5</v>
      </c>
      <c r="G82" s="138"/>
      <c r="H82" s="461"/>
      <c r="I82" s="138"/>
      <c r="J82" s="248">
        <f t="shared" si="24"/>
        <v>0</v>
      </c>
      <c r="K82" s="281"/>
      <c r="L82" s="194"/>
      <c r="M82" s="194"/>
      <c r="N82" s="184">
        <f t="shared" si="25"/>
        <v>0</v>
      </c>
      <c r="O82" s="184">
        <f t="shared" si="26"/>
        <v>0</v>
      </c>
      <c r="P82" s="184">
        <f t="shared" si="27"/>
        <v>0</v>
      </c>
      <c r="Q82" s="185">
        <f>IF($J$11="fld",IF(K82&gt;0,J82*$G$124,0),SUM(N82:P82))</f>
        <v>0</v>
      </c>
    </row>
    <row r="83" spans="1:17" s="41" customFormat="1" ht="12" customHeight="1">
      <c r="A83" s="35" t="s">
        <v>115</v>
      </c>
      <c r="B83" s="60" t="s">
        <v>130</v>
      </c>
      <c r="C83" s="61"/>
      <c r="D83" s="61"/>
      <c r="E83" s="38"/>
      <c r="F83" s="39">
        <f>IF($J$11="fld",VLOOKUP(A83,'price sheet'!$A$3:$F$162,4,FALSE),IF($J$11="ret",VLOOKUP(A83,'price sheet'!$A$3:$F$162,6,FALSE),IF($J$11="par",VLOOKUP(A83,'price sheet'!$A$3:$F$162,5,FALSE),VLOOKUP(A83,'price sheet'!$A$3:$F$162,6,FALSE))))</f>
        <v>6.7</v>
      </c>
      <c r="G83" s="138"/>
      <c r="H83" s="461" t="str">
        <f>IF(K83="X","Back Ordered","")</f>
        <v/>
      </c>
      <c r="I83" s="138"/>
      <c r="J83" s="248">
        <f t="shared" si="24"/>
        <v>0</v>
      </c>
      <c r="K83" s="281"/>
      <c r="L83" s="194"/>
      <c r="M83" s="194"/>
      <c r="N83" s="184">
        <f t="shared" si="25"/>
        <v>0</v>
      </c>
      <c r="O83" s="184">
        <f t="shared" si="26"/>
        <v>0</v>
      </c>
      <c r="P83" s="184">
        <f t="shared" si="27"/>
        <v>0</v>
      </c>
      <c r="Q83" s="185">
        <f>IF($J$11="fld",IF(K83&gt;0,J83*$G$124,0),SUM(N83:P83))</f>
        <v>0</v>
      </c>
    </row>
    <row r="84" spans="1:17" s="41" customFormat="1" ht="12" customHeight="1">
      <c r="A84" s="244" t="s">
        <v>520</v>
      </c>
      <c r="B84" s="245" t="s">
        <v>521</v>
      </c>
      <c r="C84" s="61"/>
      <c r="D84" s="61"/>
      <c r="E84" s="20"/>
      <c r="F84" s="39">
        <f>IF($J$11="fld",VLOOKUP(A84,'price sheet'!$A$3:$F$162,4,FALSE),IF($J$11="ret",VLOOKUP(A84,'price sheet'!$A$3:$F$162,6,FALSE),IF($J$11="par",VLOOKUP(A84,'price sheet'!$A$3:$F$162,5,FALSE),VLOOKUP(A84,'price sheet'!$A$3:$F$162,6,FALSE))))</f>
        <v>14</v>
      </c>
      <c r="G84" s="138"/>
      <c r="H84" s="461" t="str">
        <f>IF(K84="X","Back Ordered","")</f>
        <v/>
      </c>
      <c r="I84" s="138"/>
      <c r="J84" s="248">
        <f t="shared" si="24"/>
        <v>0</v>
      </c>
      <c r="K84" s="281"/>
      <c r="L84" s="194"/>
      <c r="M84" s="194"/>
      <c r="N84" s="184">
        <f t="shared" si="25"/>
        <v>0</v>
      </c>
      <c r="O84" s="184">
        <f t="shared" si="26"/>
        <v>0</v>
      </c>
      <c r="P84" s="184">
        <f t="shared" si="27"/>
        <v>0</v>
      </c>
      <c r="Q84" s="185">
        <f>IF($J$11="fld",IF(K84&gt;0,J84*$G$124,0),SUM(N84:P84))</f>
        <v>0</v>
      </c>
    </row>
    <row r="85" spans="1:17" s="41" customFormat="1" ht="12" customHeight="1">
      <c r="A85" s="244" t="s">
        <v>553</v>
      </c>
      <c r="B85" s="245" t="s">
        <v>554</v>
      </c>
      <c r="C85" s="61"/>
      <c r="D85" s="61"/>
      <c r="E85" s="20"/>
      <c r="F85" s="39">
        <f>IF($J$11="fld",VLOOKUP(A85,'price sheet'!$A$3:$F$162,4,FALSE),IF($J$11="ret",VLOOKUP(A85,'price sheet'!$A$3:$F$162,6,FALSE),IF($J$11="par",VLOOKUP(A85,'price sheet'!$A$3:$F$162,5,FALSE),VLOOKUP(A85,'price sheet'!$A$3:$F$162,6,FALSE))))</f>
        <v>4.7</v>
      </c>
      <c r="G85" s="138"/>
      <c r="H85" s="461" t="str">
        <f>IF(K85="X","Back Ordered","")</f>
        <v/>
      </c>
      <c r="I85" s="138"/>
      <c r="J85" s="248">
        <f t="shared" si="24"/>
        <v>0</v>
      </c>
      <c r="K85" s="281"/>
      <c r="L85" s="194"/>
      <c r="M85" s="194"/>
      <c r="N85" s="184">
        <f t="shared" si="25"/>
        <v>0</v>
      </c>
      <c r="O85" s="184">
        <f t="shared" si="26"/>
        <v>0</v>
      </c>
      <c r="P85" s="184">
        <f t="shared" si="27"/>
        <v>0</v>
      </c>
      <c r="Q85" s="185">
        <f>IF($J$11="fld",IF(K85&gt;0,J85*$G$124,0),SUM(N85:P85))</f>
        <v>0</v>
      </c>
    </row>
    <row r="86" spans="1:17" s="41" customFormat="1" ht="12" customHeight="1">
      <c r="A86" s="35" t="s">
        <v>222</v>
      </c>
      <c r="B86" s="245" t="s">
        <v>642</v>
      </c>
      <c r="C86" s="61"/>
      <c r="D86" s="61"/>
      <c r="E86" s="38"/>
      <c r="F86" s="39">
        <f>IF($J$11="fld",VLOOKUP(A86,'price sheet'!$A$3:$F$162,4,FALSE),IF($J$11="ret",VLOOKUP(A86,'price sheet'!$A$3:$F$162,6,FALSE),IF($J$11="par",VLOOKUP(A86,'price sheet'!$A$3:$F$162,5,FALSE),VLOOKUP(A86,'price sheet'!$A$3:$F$162,6,FALSE))))</f>
        <v>4.8</v>
      </c>
      <c r="G86" s="138"/>
      <c r="H86" s="461" t="str">
        <f>IF(K86="X","Back Ordered","")</f>
        <v/>
      </c>
      <c r="I86" s="138"/>
      <c r="J86" s="248">
        <f t="shared" si="24"/>
        <v>0</v>
      </c>
      <c r="K86" s="281"/>
      <c r="L86" s="194"/>
      <c r="M86" s="194"/>
      <c r="N86" s="184">
        <f t="shared" si="25"/>
        <v>0</v>
      </c>
      <c r="O86" s="184">
        <f t="shared" si="26"/>
        <v>0</v>
      </c>
      <c r="P86" s="184">
        <f t="shared" si="27"/>
        <v>0</v>
      </c>
      <c r="Q86" s="185">
        <f>IF($J$11="fld",IF(K86&gt;0,J86*$G$124,0),SUM(N86:P86))</f>
        <v>0</v>
      </c>
    </row>
    <row r="87" spans="1:17" s="41" customFormat="1">
      <c r="A87" s="35" t="s">
        <v>263</v>
      </c>
      <c r="B87" s="280" t="s">
        <v>643</v>
      </c>
      <c r="C87" s="61"/>
      <c r="D87" s="61"/>
      <c r="E87" s="38"/>
      <c r="F87" s="39">
        <f>IF($J$11="fld",VLOOKUP(A87,'price sheet'!$A$3:$F$162,4,FALSE),IF($J$11="ret",VLOOKUP(A87,'price sheet'!$A$3:$F$162,6,FALSE),IF($J$11="par",VLOOKUP(A87,'price sheet'!$A$3:$F$162,5,FALSE),VLOOKUP(A87,'price sheet'!$A$3:$F$162,6,FALSE))))</f>
        <v>4.8</v>
      </c>
      <c r="G87" s="138"/>
      <c r="H87" s="461" t="str">
        <f>IF(K87="X","Back Ordered","")</f>
        <v/>
      </c>
      <c r="I87" s="138"/>
      <c r="J87" s="248">
        <f t="shared" si="24"/>
        <v>0</v>
      </c>
      <c r="K87" s="281"/>
      <c r="L87" s="194"/>
      <c r="M87" s="194"/>
      <c r="N87" s="184">
        <f t="shared" si="25"/>
        <v>0</v>
      </c>
      <c r="O87" s="184">
        <f t="shared" si="26"/>
        <v>0</v>
      </c>
      <c r="P87" s="184">
        <f t="shared" si="27"/>
        <v>0</v>
      </c>
      <c r="Q87" s="185">
        <f>IF($J$11="fld",IF(K87&gt;0,J87*$G$124,0),SUM(N87:P87))</f>
        <v>0</v>
      </c>
    </row>
    <row r="88" spans="1:17" s="41" customFormat="1">
      <c r="A88" s="35" t="s">
        <v>352</v>
      </c>
      <c r="B88" s="280" t="s">
        <v>644</v>
      </c>
      <c r="C88" s="61"/>
      <c r="D88" s="61"/>
      <c r="E88" s="38"/>
      <c r="F88" s="39">
        <f>IF($J$11="fld",VLOOKUP(A88,'price sheet'!$A$3:$F$162,4,FALSE),IF($J$11="ret",VLOOKUP(A88,'price sheet'!$A$3:$F$162,6,FALSE),IF($J$11="par",VLOOKUP(A88,'price sheet'!$A$3:$F$162,5,FALSE),VLOOKUP(A88,'price sheet'!$A$3:$F$162,6,FALSE))))</f>
        <v>4.8</v>
      </c>
      <c r="G88" s="138"/>
      <c r="H88" s="461"/>
      <c r="I88" s="138"/>
      <c r="J88" s="248">
        <f t="shared" si="24"/>
        <v>0</v>
      </c>
      <c r="K88" s="281"/>
      <c r="L88" s="194"/>
      <c r="M88" s="194"/>
      <c r="N88" s="184">
        <f t="shared" si="25"/>
        <v>0</v>
      </c>
      <c r="O88" s="184">
        <f t="shared" si="26"/>
        <v>0</v>
      </c>
      <c r="P88" s="184">
        <f t="shared" si="27"/>
        <v>0</v>
      </c>
      <c r="Q88" s="185">
        <f>IF($J$11="fld",IF(K88&gt;0,J88*$G$124,0),SUM(N88:P88))</f>
        <v>0</v>
      </c>
    </row>
    <row r="89" spans="1:17" s="41" customFormat="1">
      <c r="A89" s="35" t="s">
        <v>117</v>
      </c>
      <c r="B89" s="60" t="s">
        <v>132</v>
      </c>
      <c r="C89" s="61"/>
      <c r="D89" s="61"/>
      <c r="E89" s="38"/>
      <c r="F89" s="39">
        <f>IF($J$11="fld",VLOOKUP(A89,'price sheet'!$A$3:$F$162,4,FALSE),IF($J$11="ret",VLOOKUP(A89,'price sheet'!$A$3:$F$162,6,FALSE),IF($J$11="par",VLOOKUP(A89,'price sheet'!$A$3:$F$162,5,FALSE),VLOOKUP(A89,'price sheet'!$A$3:$F$162,6,FALSE))))</f>
        <v>14</v>
      </c>
      <c r="G89" s="138"/>
      <c r="H89" s="461"/>
      <c r="I89" s="138"/>
      <c r="J89" s="248">
        <f t="shared" si="24"/>
        <v>0</v>
      </c>
      <c r="K89" s="281"/>
      <c r="L89" s="194"/>
      <c r="M89" s="194"/>
      <c r="N89" s="184">
        <f t="shared" si="25"/>
        <v>0</v>
      </c>
      <c r="O89" s="184">
        <f t="shared" si="26"/>
        <v>0</v>
      </c>
      <c r="P89" s="184">
        <f t="shared" si="27"/>
        <v>0</v>
      </c>
      <c r="Q89" s="185">
        <f>IF($J$11="fld",IF(K89&gt;0,J89*$G$124,0),SUM(N89:P89))</f>
        <v>0</v>
      </c>
    </row>
    <row r="90" spans="1:17" s="41" customFormat="1" ht="12" customHeight="1">
      <c r="A90" s="35" t="s">
        <v>480</v>
      </c>
      <c r="B90" s="249" t="s">
        <v>613</v>
      </c>
      <c r="C90" s="60"/>
      <c r="D90" s="61"/>
      <c r="E90" s="38"/>
      <c r="F90" s="39">
        <f>IF($J$11="fld",VLOOKUP(A90,'price sheet'!$A$3:$F$162,4,FALSE),IF($J$11="ret",VLOOKUP(A90,'price sheet'!$A$3:$F$162,6,FALSE),IF($J$11="par",VLOOKUP(A90,'price sheet'!$A$3:$F$162,5,FALSE),VLOOKUP(A90,'price sheet'!$A$3:$F$162,6,FALSE))))</f>
        <v>3.5</v>
      </c>
      <c r="G90" s="138"/>
      <c r="H90" s="461" t="str">
        <f>IF(K90="X","Back Ordered","")</f>
        <v/>
      </c>
      <c r="I90" s="138"/>
      <c r="J90" s="248">
        <f t="shared" si="24"/>
        <v>0</v>
      </c>
      <c r="K90" s="281"/>
      <c r="L90" s="194"/>
      <c r="M90" s="194"/>
      <c r="N90" s="184">
        <f t="shared" si="25"/>
        <v>0</v>
      </c>
      <c r="O90" s="184">
        <f t="shared" si="26"/>
        <v>0</v>
      </c>
      <c r="P90" s="184">
        <f t="shared" si="27"/>
        <v>0</v>
      </c>
      <c r="Q90" s="185">
        <f>IF($J$11="fld",IF(K90&gt;0,J90*$G$124,0),SUM(N90:P90))</f>
        <v>0</v>
      </c>
    </row>
    <row r="91" spans="1:17" s="41" customFormat="1" ht="12" customHeight="1">
      <c r="A91" s="35" t="s">
        <v>471</v>
      </c>
      <c r="B91" s="245" t="s">
        <v>614</v>
      </c>
      <c r="C91" s="61"/>
      <c r="D91" s="61"/>
      <c r="E91" s="38"/>
      <c r="F91" s="39">
        <f>IF($J$11="fld",VLOOKUP(A91,'price sheet'!$A$3:$F$162,4,FALSE),IF($J$11="ret",VLOOKUP(A91,'price sheet'!$A$3:$F$162,6,FALSE),IF($J$11="par",VLOOKUP(A91,'price sheet'!$A$3:$F$162,5,FALSE),VLOOKUP(A91,'price sheet'!$A$3:$F$162,6,FALSE))))</f>
        <v>6.95</v>
      </c>
      <c r="G91" s="138"/>
      <c r="H91" s="461" t="str">
        <f>IF(K91="X","Back Ordered","")</f>
        <v/>
      </c>
      <c r="I91" s="138"/>
      <c r="J91" s="248">
        <f t="shared" si="24"/>
        <v>0</v>
      </c>
      <c r="K91" s="281"/>
      <c r="L91" s="194"/>
      <c r="M91" s="194"/>
      <c r="N91" s="184">
        <f t="shared" si="25"/>
        <v>0</v>
      </c>
      <c r="O91" s="184">
        <f t="shared" si="26"/>
        <v>0</v>
      </c>
      <c r="P91" s="184">
        <f t="shared" si="27"/>
        <v>0</v>
      </c>
      <c r="Q91" s="185">
        <f>IF($J$11="fld",IF(K91&gt;0,J91*$G$124,0),SUM(N91:P91))</f>
        <v>0</v>
      </c>
    </row>
    <row r="92" spans="1:17" s="41" customFormat="1" ht="12" customHeight="1">
      <c r="A92" s="35" t="s">
        <v>333</v>
      </c>
      <c r="B92" s="249" t="s">
        <v>628</v>
      </c>
      <c r="C92" s="60"/>
      <c r="D92" s="61"/>
      <c r="E92" s="38"/>
      <c r="F92" s="270" t="s">
        <v>140</v>
      </c>
      <c r="G92" s="138"/>
      <c r="H92" s="461" t="str">
        <f>IF(K92="X","Back Ordered","")</f>
        <v/>
      </c>
      <c r="I92" s="138"/>
      <c r="J92" s="248" t="str">
        <f t="shared" si="24"/>
        <v>FREE</v>
      </c>
      <c r="K92" s="281"/>
      <c r="L92" s="194"/>
      <c r="M92" s="194"/>
      <c r="N92" s="184">
        <f t="shared" si="25"/>
        <v>0</v>
      </c>
      <c r="O92" s="184">
        <f t="shared" si="26"/>
        <v>0</v>
      </c>
      <c r="P92" s="184">
        <f t="shared" si="27"/>
        <v>0</v>
      </c>
      <c r="Q92" s="185">
        <f>IF($J$11="fld",IF(K92&gt;0,J92*$G$124,0),SUM(N92:P92))</f>
        <v>0</v>
      </c>
    </row>
    <row r="93" spans="1:17" s="41" customFormat="1">
      <c r="A93" s="35" t="s">
        <v>335</v>
      </c>
      <c r="B93" s="280" t="s">
        <v>629</v>
      </c>
      <c r="C93" s="61"/>
      <c r="D93" s="61"/>
      <c r="E93" s="38"/>
      <c r="F93" s="270" t="s">
        <v>140</v>
      </c>
      <c r="G93" s="138"/>
      <c r="H93" s="461" t="str">
        <f>IF(K93="X","Back Ordered","")</f>
        <v/>
      </c>
      <c r="I93" s="138"/>
      <c r="J93" s="248" t="str">
        <f t="shared" si="24"/>
        <v>FREE</v>
      </c>
      <c r="K93" s="281"/>
      <c r="L93" s="194"/>
      <c r="M93" s="194"/>
      <c r="N93" s="184">
        <f t="shared" si="25"/>
        <v>0</v>
      </c>
      <c r="O93" s="184">
        <f t="shared" si="26"/>
        <v>0</v>
      </c>
      <c r="P93" s="184">
        <f t="shared" si="27"/>
        <v>0</v>
      </c>
      <c r="Q93" s="185">
        <f>IF($J$11="fld",IF(K93&gt;0,J93*$G$124,0),SUM(N93:P93))</f>
        <v>0</v>
      </c>
    </row>
    <row r="94" spans="1:17" s="33" customFormat="1" ht="15.75">
      <c r="A94" s="357"/>
      <c r="B94" s="574" t="s">
        <v>578</v>
      </c>
      <c r="C94" s="575"/>
      <c r="D94" s="575"/>
      <c r="E94" s="576"/>
      <c r="F94" s="358"/>
      <c r="G94" s="359"/>
      <c r="H94" s="359"/>
      <c r="I94" s="359"/>
      <c r="J94" s="372">
        <f>SUM(J95:J100)</f>
        <v>0</v>
      </c>
      <c r="K94" s="447"/>
      <c r="L94" s="193"/>
      <c r="M94" s="193"/>
      <c r="N94" s="184"/>
      <c r="O94" s="184"/>
      <c r="P94" s="184"/>
      <c r="Q94" s="185"/>
    </row>
    <row r="95" spans="1:17" s="41" customFormat="1" ht="12.75" customHeight="1">
      <c r="A95" s="244" t="s">
        <v>555</v>
      </c>
      <c r="B95" s="249" t="s">
        <v>583</v>
      </c>
      <c r="C95" s="60"/>
      <c r="D95" s="61"/>
      <c r="E95" s="38"/>
      <c r="F95" s="39">
        <f>IF($J$11="fld",VLOOKUP(A95,'price sheet'!$A$3:$F$162,4,FALSE),IF($J$11="ret",VLOOKUP(A95,'price sheet'!$A$3:$F$162,6,FALSE),IF($J$11="par",VLOOKUP(A95,'price sheet'!$A$3:$F$162,5,FALSE),VLOOKUP(A95,'price sheet'!$A$3:$F$162,6,FALSE))))</f>
        <v>0</v>
      </c>
      <c r="G95" s="138"/>
      <c r="H95" s="461" t="str">
        <f>IF(K95="X","Back Ordered","")</f>
        <v/>
      </c>
      <c r="I95" s="138"/>
      <c r="J95" s="248">
        <f t="shared" ref="J95:J100" si="28">IF(K95="x",0,IF(F95="n/a","N/A",IF(F95="free","FREE",IF(I95=0,SUM(G95*F95),SUM(I95*F95)))))</f>
        <v>0</v>
      </c>
      <c r="K95" s="281"/>
      <c r="L95" s="194"/>
      <c r="M95" s="194"/>
      <c r="N95" s="184">
        <f t="shared" ref="N95:N100" si="29">IF($J$11="ret",IF(G95&gt;9,J95*15%,0),0)</f>
        <v>0</v>
      </c>
      <c r="O95" s="184">
        <f t="shared" ref="O95:O100" si="30">IF($J$11="ret",IF(G95&gt;49,J95*10%,0),0)</f>
        <v>0</v>
      </c>
      <c r="P95" s="184">
        <f t="shared" ref="P95:P100" si="31">IF($J$11="ret",IF(G95&gt;99,J95*5%,0),0)</f>
        <v>0</v>
      </c>
      <c r="Q95" s="185">
        <f>IF($J$11="fld",IF(K95&gt;0,J95*$G$124,0),SUM(N95:P95))</f>
        <v>0</v>
      </c>
    </row>
    <row r="96" spans="1:17" s="41" customFormat="1">
      <c r="A96" s="35" t="s">
        <v>153</v>
      </c>
      <c r="B96" s="58" t="s">
        <v>155</v>
      </c>
      <c r="C96" s="60"/>
      <c r="D96" s="61"/>
      <c r="E96" s="38"/>
      <c r="F96" s="39">
        <f>IF($J$11="fld",VLOOKUP(A96,'price sheet'!$A$3:$F$162,4,FALSE),IF($J$11="ret",VLOOKUP(A96,'price sheet'!$A$3:$F$162,6,FALSE),IF($J$11="par",VLOOKUP(A96,'price sheet'!$A$3:$F$162,5,FALSE),VLOOKUP(A96,'price sheet'!$A$3:$F$162,6,FALSE))))</f>
        <v>1.2</v>
      </c>
      <c r="G96" s="138"/>
      <c r="H96" s="461"/>
      <c r="I96" s="138"/>
      <c r="J96" s="248">
        <f t="shared" si="28"/>
        <v>0</v>
      </c>
      <c r="K96" s="281"/>
      <c r="L96" s="194"/>
      <c r="M96" s="194"/>
      <c r="N96" s="184">
        <f t="shared" si="29"/>
        <v>0</v>
      </c>
      <c r="O96" s="184">
        <f t="shared" si="30"/>
        <v>0</v>
      </c>
      <c r="P96" s="184">
        <f t="shared" si="31"/>
        <v>0</v>
      </c>
      <c r="Q96" s="185">
        <f>IF($J$11="fld",IF(K96&gt;0,J96*$G$124,0),SUM(N96:P96))</f>
        <v>0</v>
      </c>
    </row>
    <row r="97" spans="1:18" s="41" customFormat="1">
      <c r="A97" s="35" t="s">
        <v>158</v>
      </c>
      <c r="B97" s="58" t="s">
        <v>156</v>
      </c>
      <c r="C97" s="60"/>
      <c r="D97" s="61"/>
      <c r="E97" s="38"/>
      <c r="F97" s="39">
        <f>IF($J$11="fld",VLOOKUP(A97,'price sheet'!$A$3:$F$162,4,FALSE),IF($J$11="ret",VLOOKUP(A97,'price sheet'!$A$3:$F$162,6,FALSE),IF($J$11="par",VLOOKUP(A97,'price sheet'!$A$3:$F$162,5,FALSE),VLOOKUP(A97,'price sheet'!$A$3:$F$162,6,FALSE))))</f>
        <v>1.2</v>
      </c>
      <c r="G97" s="138"/>
      <c r="H97" s="461"/>
      <c r="I97" s="138"/>
      <c r="J97" s="248">
        <f t="shared" si="28"/>
        <v>0</v>
      </c>
      <c r="K97" s="281"/>
      <c r="L97" s="194"/>
      <c r="M97" s="194"/>
      <c r="N97" s="184">
        <f t="shared" si="29"/>
        <v>0</v>
      </c>
      <c r="O97" s="184">
        <f t="shared" si="30"/>
        <v>0</v>
      </c>
      <c r="P97" s="184">
        <f t="shared" si="31"/>
        <v>0</v>
      </c>
      <c r="Q97" s="185">
        <f>IF($J$11="fld",IF(K97&gt;0,J97*$G$124,0),SUM(N97:P97))</f>
        <v>0</v>
      </c>
    </row>
    <row r="98" spans="1:18" s="41" customFormat="1" ht="12" customHeight="1">
      <c r="A98" s="35" t="s">
        <v>160</v>
      </c>
      <c r="B98" s="58" t="s">
        <v>157</v>
      </c>
      <c r="C98" s="60"/>
      <c r="D98" s="61"/>
      <c r="E98" s="38"/>
      <c r="F98" s="39">
        <f>IF($J$11="fld",VLOOKUP(A98,'price sheet'!$A$3:$F$162,4,FALSE),IF($J$11="ret",VLOOKUP(A98,'price sheet'!$A$3:$F$162,6,FALSE),IF($J$11="par",VLOOKUP(A98,'price sheet'!$A$3:$F$162,5,FALSE),VLOOKUP(A98,'price sheet'!$A$3:$F$162,6,FALSE))))</f>
        <v>1.2</v>
      </c>
      <c r="G98" s="138"/>
      <c r="H98" s="461" t="str">
        <f>IF(K98="X","Back Ordered","")</f>
        <v/>
      </c>
      <c r="I98" s="138"/>
      <c r="J98" s="248">
        <f t="shared" si="28"/>
        <v>0</v>
      </c>
      <c r="K98" s="281"/>
      <c r="L98" s="194"/>
      <c r="M98" s="194"/>
      <c r="N98" s="184">
        <f t="shared" si="29"/>
        <v>0</v>
      </c>
      <c r="O98" s="184">
        <f t="shared" si="30"/>
        <v>0</v>
      </c>
      <c r="P98" s="184">
        <f t="shared" si="31"/>
        <v>0</v>
      </c>
      <c r="Q98" s="185">
        <f>IF($J$11="fld",IF(K98&gt;0,J98*$G$124,0),SUM(N98:P98))</f>
        <v>0</v>
      </c>
    </row>
    <row r="99" spans="1:18" s="41" customFormat="1" ht="12" customHeight="1">
      <c r="A99" s="244" t="s">
        <v>363</v>
      </c>
      <c r="B99" s="245" t="s">
        <v>543</v>
      </c>
      <c r="C99" s="61"/>
      <c r="D99" s="61"/>
      <c r="E99" s="38"/>
      <c r="F99" s="39">
        <f>IF($J$11="fld",VLOOKUP(A99,'price sheet'!$A$3:$F$162,4,FALSE),IF($J$11="ret",VLOOKUP(A99,'price sheet'!$A$3:$F$162,6,FALSE),IF($J$11="par",VLOOKUP(A99,'price sheet'!$A$3:$F$162,5,FALSE),VLOOKUP(A99,'price sheet'!$A$3:$F$162,6,FALSE))))</f>
        <v>1.2</v>
      </c>
      <c r="G99" s="138"/>
      <c r="H99" s="461" t="str">
        <f>IF(K99="X","Back Ordered","")</f>
        <v/>
      </c>
      <c r="I99" s="138"/>
      <c r="J99" s="248">
        <f>IF(K99="x",0,IF(F99="n/a","N/A",IF(F99="free","FREE",IF(I99=0,SUM(G99*F99),SUM(I99*F99)))))</f>
        <v>0</v>
      </c>
      <c r="K99" s="281"/>
      <c r="L99" s="194"/>
      <c r="M99" s="194"/>
      <c r="N99" s="184">
        <f t="shared" si="29"/>
        <v>0</v>
      </c>
      <c r="O99" s="184">
        <f t="shared" si="30"/>
        <v>0</v>
      </c>
      <c r="P99" s="184">
        <f t="shared" si="31"/>
        <v>0</v>
      </c>
      <c r="Q99" s="185">
        <f>IF($J$11="fld",IF(K99&gt;0,J99*$G$124,0),SUM(N99:P99))</f>
        <v>0</v>
      </c>
    </row>
    <row r="100" spans="1:18" s="41" customFormat="1">
      <c r="A100" s="35" t="s">
        <v>162</v>
      </c>
      <c r="B100" s="36" t="s">
        <v>164</v>
      </c>
      <c r="C100" s="37"/>
      <c r="D100" s="37"/>
      <c r="E100" s="38"/>
      <c r="F100" s="39">
        <f>IF($J$11="fld",VLOOKUP(A100,'price sheet'!$A$3:$F$162,4,FALSE),IF($J$11="ret",VLOOKUP(A100,'price sheet'!$A$3:$F$162,6,FALSE),IF($J$11="par",VLOOKUP(A100,'price sheet'!$A$3:$F$162,5,FALSE),VLOOKUP(A100,'price sheet'!$A$3:$F$162,6,FALSE))))</f>
        <v>1.2</v>
      </c>
      <c r="G100" s="138"/>
      <c r="H100" s="461"/>
      <c r="I100" s="138"/>
      <c r="J100" s="248">
        <f t="shared" si="28"/>
        <v>0</v>
      </c>
      <c r="K100" s="281"/>
      <c r="L100" s="194"/>
      <c r="M100" s="194"/>
      <c r="N100" s="184">
        <f t="shared" si="29"/>
        <v>0</v>
      </c>
      <c r="O100" s="184">
        <f t="shared" si="30"/>
        <v>0</v>
      </c>
      <c r="P100" s="184">
        <f t="shared" si="31"/>
        <v>0</v>
      </c>
      <c r="Q100" s="185">
        <f>IF($J$11="fld",IF(K100&gt;0,J100*$G$124,0),SUM(N100:P100))</f>
        <v>0</v>
      </c>
    </row>
    <row r="101" spans="1:18" s="33" customFormat="1" ht="15.75">
      <c r="A101" s="342"/>
      <c r="B101" s="530" t="s">
        <v>491</v>
      </c>
      <c r="C101" s="531"/>
      <c r="D101" s="531"/>
      <c r="E101" s="532"/>
      <c r="F101" s="343"/>
      <c r="G101" s="344"/>
      <c r="H101" s="344"/>
      <c r="I101" s="344"/>
      <c r="J101" s="360">
        <f>SUM(J102:J107)</f>
        <v>0</v>
      </c>
      <c r="K101" s="447"/>
      <c r="L101" s="193"/>
      <c r="M101" s="193"/>
      <c r="N101" s="184"/>
      <c r="O101" s="184"/>
      <c r="P101" s="184"/>
      <c r="Q101" s="185"/>
    </row>
    <row r="102" spans="1:18" s="19" customFormat="1" ht="12" hidden="1" customHeight="1">
      <c r="A102" s="35" t="s">
        <v>467</v>
      </c>
      <c r="B102" s="35" t="s">
        <v>488</v>
      </c>
      <c r="C102" s="36"/>
      <c r="D102" s="37"/>
      <c r="E102" s="38"/>
      <c r="F102" s="39">
        <f>IF($J$11="fld",VLOOKUP(A102,'price sheet'!$A$3:$F$162,4,FALSE),IF($J$11="ret",VLOOKUP(A102,'price sheet'!$A$3:$F$162,6,FALSE),IF($J$11="par",VLOOKUP(A102,'price sheet'!$A$3:$F$162,5,FALSE),VLOOKUP(A102,'price sheet'!$A$3:$F$162,6,FALSE))))</f>
        <v>17.5</v>
      </c>
      <c r="G102" s="138"/>
      <c r="H102" s="461" t="str">
        <f t="shared" ref="H102:H107" si="32">IF(K102="X","Back Ordered","")</f>
        <v/>
      </c>
      <c r="I102" s="138"/>
      <c r="J102" s="248">
        <f t="shared" ref="J102:J107" si="33">IF(K102="x",0,IF(F102="n/a","N/A",IF(F102="free","FREE",IF(I102=0,SUM(G102*F102),SUM(I102*F102)))))</f>
        <v>0</v>
      </c>
      <c r="K102" s="281"/>
      <c r="L102" s="194"/>
      <c r="M102" s="194"/>
      <c r="N102" s="184">
        <f t="shared" ref="N102:N107" si="34">IF($J$11="ret",IF(G102&gt;9,J102*15%,0),0)</f>
        <v>0</v>
      </c>
      <c r="O102" s="184">
        <f t="shared" ref="O102:O107" si="35">IF($J$11="ret",IF(G102&gt;49,J102*10%,0),0)</f>
        <v>0</v>
      </c>
      <c r="P102" s="184">
        <f t="shared" ref="P102:P107" si="36">IF($J$11="ret",IF(G102&gt;99,J102*5%,0),0)</f>
        <v>0</v>
      </c>
      <c r="Q102" s="185">
        <f>IF($J$11="fld",IF(K102&gt;0,J102*$G$124,0),SUM(N102:P102))</f>
        <v>0</v>
      </c>
    </row>
    <row r="103" spans="1:18" s="41" customFormat="1" ht="12" hidden="1" customHeight="1">
      <c r="A103" s="35" t="s">
        <v>468</v>
      </c>
      <c r="B103" s="35" t="s">
        <v>489</v>
      </c>
      <c r="C103" s="36"/>
      <c r="D103" s="37"/>
      <c r="E103" s="38"/>
      <c r="F103" s="39">
        <f>IF($J$11="fld",VLOOKUP(A103,'price sheet'!$A$3:$F$162,4,FALSE),IF($J$11="ret",VLOOKUP(A103,'price sheet'!$A$3:$F$162,6,FALSE),IF($J$11="par",VLOOKUP(A103,'price sheet'!$A$3:$F$162,5,FALSE),VLOOKUP(A103,'price sheet'!$A$3:$F$162,6,FALSE))))</f>
        <v>17.5</v>
      </c>
      <c r="G103" s="138"/>
      <c r="H103" s="461" t="str">
        <f t="shared" si="32"/>
        <v/>
      </c>
      <c r="I103" s="138"/>
      <c r="J103" s="248">
        <f t="shared" si="33"/>
        <v>0</v>
      </c>
      <c r="K103" s="281"/>
      <c r="L103" s="194"/>
      <c r="M103" s="194"/>
      <c r="N103" s="184">
        <f t="shared" si="34"/>
        <v>0</v>
      </c>
      <c r="O103" s="184">
        <f t="shared" si="35"/>
        <v>0</v>
      </c>
      <c r="P103" s="184">
        <f t="shared" si="36"/>
        <v>0</v>
      </c>
      <c r="Q103" s="185">
        <f>IF($J$11="fld",IF(K103&gt;0,J103*$G$124,0),SUM(N103:P103))</f>
        <v>0</v>
      </c>
    </row>
    <row r="104" spans="1:18" s="41" customFormat="1" ht="12" hidden="1" customHeight="1">
      <c r="A104" s="35" t="s">
        <v>469</v>
      </c>
      <c r="B104" s="35" t="s">
        <v>470</v>
      </c>
      <c r="C104" s="36"/>
      <c r="D104" s="37"/>
      <c r="E104" s="38"/>
      <c r="F104" s="39">
        <f>IF($J$11="fld",VLOOKUP(A104,'price sheet'!$A$3:$F$162,4,FALSE),IF($J$11="ret",VLOOKUP(A104,'price sheet'!$A$3:$F$162,6,FALSE),IF($J$11="par",VLOOKUP(A104,'price sheet'!$A$3:$F$162,5,FALSE),VLOOKUP(A104,'price sheet'!$A$3:$F$162,6,FALSE))))</f>
        <v>46.9</v>
      </c>
      <c r="G104" s="138"/>
      <c r="H104" s="461" t="str">
        <f t="shared" si="32"/>
        <v/>
      </c>
      <c r="I104" s="138"/>
      <c r="J104" s="248">
        <f t="shared" si="33"/>
        <v>0</v>
      </c>
      <c r="K104" s="281"/>
      <c r="L104" s="194"/>
      <c r="M104" s="194"/>
      <c r="N104" s="184">
        <f t="shared" si="34"/>
        <v>0</v>
      </c>
      <c r="O104" s="184">
        <f t="shared" si="35"/>
        <v>0</v>
      </c>
      <c r="P104" s="184">
        <f t="shared" si="36"/>
        <v>0</v>
      </c>
      <c r="Q104" s="185">
        <f>IF($J$11="fld",IF(K104&gt;0,J104*$G$124,0),SUM(N104:P104))</f>
        <v>0</v>
      </c>
    </row>
    <row r="105" spans="1:18" s="41" customFormat="1" ht="12" customHeight="1">
      <c r="A105" s="244" t="s">
        <v>556</v>
      </c>
      <c r="B105" s="254" t="s">
        <v>584</v>
      </c>
      <c r="C105" s="37"/>
      <c r="D105" s="37"/>
      <c r="E105" s="38"/>
      <c r="F105" s="39">
        <f>IF($J$11="fld",VLOOKUP(A105,'price sheet'!$A$3:$F$162,4,FALSE),IF($J$11="ret",VLOOKUP(A105,'price sheet'!$A$3:$F$162,6,FALSE),IF($J$11="par",VLOOKUP(A105,'price sheet'!$A$3:$F$162,5,FALSE),VLOOKUP(A105,'price sheet'!$A$3:$F$162,6,FALSE))))</f>
        <v>15.8</v>
      </c>
      <c r="G105" s="138"/>
      <c r="H105" s="461" t="str">
        <f t="shared" si="32"/>
        <v/>
      </c>
      <c r="I105" s="138"/>
      <c r="J105" s="248">
        <f t="shared" si="33"/>
        <v>0</v>
      </c>
      <c r="K105" s="281"/>
      <c r="L105" s="194"/>
      <c r="M105" s="194"/>
      <c r="N105" s="184">
        <f t="shared" si="34"/>
        <v>0</v>
      </c>
      <c r="O105" s="184">
        <f t="shared" si="35"/>
        <v>0</v>
      </c>
      <c r="P105" s="184">
        <f t="shared" si="36"/>
        <v>0</v>
      </c>
      <c r="Q105" s="185">
        <f>IF($J$11="fld",IF(K105&gt;0,J105*$G$124,0),SUM(N105:P105))</f>
        <v>0</v>
      </c>
    </row>
    <row r="106" spans="1:18" s="41" customFormat="1" ht="12" customHeight="1">
      <c r="A106" s="244" t="s">
        <v>557</v>
      </c>
      <c r="B106" s="254" t="s">
        <v>585</v>
      </c>
      <c r="C106" s="37"/>
      <c r="D106" s="37"/>
      <c r="E106" s="38"/>
      <c r="F106" s="39">
        <f>IF($J$11="fld",VLOOKUP(A106,'price sheet'!$A$3:$F$162,4,FALSE),IF($J$11="ret",VLOOKUP(A106,'price sheet'!$A$3:$F$162,6,FALSE),IF($J$11="par",VLOOKUP(A106,'price sheet'!$A$3:$F$162,5,FALSE),VLOOKUP(A106,'price sheet'!$A$3:$F$162,6,FALSE))))</f>
        <v>8.1</v>
      </c>
      <c r="G106" s="138"/>
      <c r="H106" s="461" t="str">
        <f t="shared" si="32"/>
        <v/>
      </c>
      <c r="I106" s="138"/>
      <c r="J106" s="248">
        <f t="shared" si="33"/>
        <v>0</v>
      </c>
      <c r="K106" s="281"/>
      <c r="L106" s="194"/>
      <c r="M106" s="194"/>
      <c r="N106" s="184">
        <f t="shared" si="34"/>
        <v>0</v>
      </c>
      <c r="O106" s="184">
        <f t="shared" si="35"/>
        <v>0</v>
      </c>
      <c r="P106" s="184">
        <f t="shared" si="36"/>
        <v>0</v>
      </c>
      <c r="Q106" s="185">
        <f>IF($J$11="fld",IF(K106&gt;0,J106*$G$124,0),SUM(N106:P106))</f>
        <v>0</v>
      </c>
    </row>
    <row r="107" spans="1:18" s="41" customFormat="1" ht="12" customHeight="1">
      <c r="A107" s="244" t="s">
        <v>558</v>
      </c>
      <c r="B107" s="254" t="s">
        <v>586</v>
      </c>
      <c r="C107" s="37"/>
      <c r="D107" s="37"/>
      <c r="E107" s="38"/>
      <c r="F107" s="39">
        <f>IF($J$11="fld",VLOOKUP(A107,'price sheet'!$A$3:$F$162,4,FALSE),IF($J$11="ret",VLOOKUP(A107,'price sheet'!$A$3:$F$162,6,FALSE),IF($J$11="par",VLOOKUP(A107,'price sheet'!$A$3:$F$162,5,FALSE),VLOOKUP(A107,'price sheet'!$A$3:$F$162,6,FALSE))))</f>
        <v>3.5</v>
      </c>
      <c r="G107" s="138"/>
      <c r="H107" s="461" t="str">
        <f t="shared" si="32"/>
        <v/>
      </c>
      <c r="I107" s="138"/>
      <c r="J107" s="248">
        <f t="shared" si="33"/>
        <v>0</v>
      </c>
      <c r="K107" s="281"/>
      <c r="L107" s="194"/>
      <c r="M107" s="194"/>
      <c r="N107" s="184">
        <f t="shared" si="34"/>
        <v>0</v>
      </c>
      <c r="O107" s="184">
        <f t="shared" si="35"/>
        <v>0</v>
      </c>
      <c r="P107" s="184">
        <f t="shared" si="36"/>
        <v>0</v>
      </c>
      <c r="Q107" s="185">
        <f>IF($J$11="fld",IF(K107&gt;0,J107*$G$124,0),SUM(N107:P107))</f>
        <v>0</v>
      </c>
    </row>
    <row r="108" spans="1:18" s="41" customFormat="1" ht="18.75" customHeight="1">
      <c r="A108" s="342"/>
      <c r="B108" s="530" t="s">
        <v>147</v>
      </c>
      <c r="C108" s="531"/>
      <c r="D108" s="531"/>
      <c r="E108" s="532"/>
      <c r="F108" s="343"/>
      <c r="G108" s="361"/>
      <c r="H108" s="361"/>
      <c r="I108" s="361"/>
      <c r="J108" s="374">
        <f>SUM(J109:J110)</f>
        <v>0</v>
      </c>
      <c r="K108" s="199"/>
      <c r="L108" s="189"/>
      <c r="M108" s="189"/>
      <c r="N108" s="184"/>
      <c r="O108" s="184"/>
      <c r="P108" s="184"/>
      <c r="Q108" s="185"/>
    </row>
    <row r="109" spans="1:18" s="41" customFormat="1" ht="12.75" customHeight="1">
      <c r="A109" s="244" t="s">
        <v>161</v>
      </c>
      <c r="B109" s="244" t="s">
        <v>581</v>
      </c>
      <c r="C109" s="36"/>
      <c r="D109" s="37"/>
      <c r="E109" s="38"/>
      <c r="F109" s="39">
        <f>IF($J$11="fld",VLOOKUP(A109,'price sheet'!$A$3:$F$162,4,FALSE),IF($J$11="ret",VLOOKUP(A109,'price sheet'!$A$3:$F$162,6,FALSE),IF($J$11="par",VLOOKUP(A109,'price sheet'!$A$3:$F$162,5,FALSE),VLOOKUP(A109,'price sheet'!$A$3:$F$162,6,FALSE))))</f>
        <v>5.8</v>
      </c>
      <c r="G109" s="138"/>
      <c r="H109" s="461" t="str">
        <f>IF(K109="X","Back Ordered","")</f>
        <v/>
      </c>
      <c r="I109" s="138"/>
      <c r="J109" s="248">
        <f>IF(K109="x",0,IF(F109="n/a","N/A",IF(F109="free","FREE",IF(I109=0,SUM(G109*F109),SUM(I109*F109)))))</f>
        <v>0</v>
      </c>
      <c r="K109" s="281"/>
      <c r="L109" s="194"/>
      <c r="M109" s="194"/>
      <c r="N109" s="184">
        <f t="shared" ref="N109:N110" si="37">IF($J$11="ret",IF(G109&gt;9,J109*15%,0),0)</f>
        <v>0</v>
      </c>
      <c r="O109" s="184">
        <f t="shared" ref="O109:O110" si="38">IF($J$11="ret",IF(G109&gt;49,J109*10%,0),0)</f>
        <v>0</v>
      </c>
      <c r="P109" s="184">
        <f t="shared" ref="P109:P110" si="39">IF($J$11="ret",IF(G109&gt;99,J109*5%,0),0)</f>
        <v>0</v>
      </c>
      <c r="Q109" s="185">
        <f>IF($J$11="fld",IF(K109&gt;0,J109*$G$124,0),SUM(N109:P109))</f>
        <v>0</v>
      </c>
    </row>
    <row r="110" spans="1:18" s="41" customFormat="1" hidden="1">
      <c r="A110" s="35" t="s">
        <v>494</v>
      </c>
      <c r="B110" s="35" t="s">
        <v>493</v>
      </c>
      <c r="C110" s="36"/>
      <c r="D110" s="37"/>
      <c r="E110" s="38"/>
      <c r="F110" s="39">
        <f>IF($J$11="fld",VLOOKUP(A110,'price sheet'!$A$3:$F$162,4,FALSE),IF($J$11="ret",VLOOKUP(A110,'price sheet'!$A$3:$F$162,6,FALSE),IF($J$11="par",VLOOKUP(A110,'price sheet'!$A$3:$F$162,5,FALSE),VLOOKUP(A110,'price sheet'!$A$3:$F$162,6,FALSE))))</f>
        <v>0</v>
      </c>
      <c r="G110" s="138"/>
      <c r="H110" s="461" t="str">
        <f t="shared" ref="H110" si="40">IF(K110="X","Back Ordered","")</f>
        <v/>
      </c>
      <c r="I110" s="138"/>
      <c r="J110" s="248">
        <f t="shared" ref="J110" si="41">IF(K110="x",0,IF(F110="n/a","N/A",IF(F110="free","FREE",IF(I110=0,SUM(G110*F110),SUM(I110*F110)))))</f>
        <v>0</v>
      </c>
      <c r="K110" s="281"/>
      <c r="L110" s="194"/>
      <c r="M110" s="194"/>
      <c r="N110" s="184">
        <f t="shared" si="37"/>
        <v>0</v>
      </c>
      <c r="O110" s="184">
        <f t="shared" si="38"/>
        <v>0</v>
      </c>
      <c r="P110" s="184">
        <f t="shared" si="39"/>
        <v>0</v>
      </c>
      <c r="Q110" s="185">
        <f>IF($J$11="fld",IF(K110&gt;0,J110*$G$124,0),SUM(N110:P110))</f>
        <v>0</v>
      </c>
    </row>
    <row r="111" spans="1:18" s="66" customFormat="1" ht="15">
      <c r="A111" s="362"/>
      <c r="B111" s="568" t="s">
        <v>195</v>
      </c>
      <c r="C111" s="569"/>
      <c r="D111" s="569"/>
      <c r="E111" s="570"/>
      <c r="F111" s="363"/>
      <c r="G111" s="364"/>
      <c r="H111" s="364"/>
      <c r="I111" s="364"/>
      <c r="J111" s="375">
        <f>SUM(J112:J114)</f>
        <v>0</v>
      </c>
      <c r="K111" s="452"/>
      <c r="L111" s="196"/>
      <c r="M111" s="196"/>
      <c r="N111" s="184"/>
      <c r="O111" s="184"/>
      <c r="P111" s="184"/>
      <c r="Q111" s="185"/>
    </row>
    <row r="112" spans="1:18" s="41" customFormat="1">
      <c r="A112" s="244" t="s">
        <v>159</v>
      </c>
      <c r="B112" s="418" t="s">
        <v>645</v>
      </c>
      <c r="C112" s="419"/>
      <c r="D112" s="419"/>
      <c r="E112" s="420"/>
      <c r="F112" s="39">
        <f>IF($J$11="fld",VLOOKUP(A112,'price sheet'!$A$3:$F$162,4,FALSE),IF($J$11="ret",VLOOKUP(A112,'price sheet'!$A$3:$F$162,6,FALSE),IF($J$11="par",VLOOKUP(A112,'price sheet'!$A$3:$F$162,5,FALSE),VLOOKUP(A112,'price sheet'!$A$3:$F$162,6,FALSE))))</f>
        <v>10</v>
      </c>
      <c r="G112" s="138"/>
      <c r="H112" s="461" t="str">
        <f>IF(K112="X","Back Ordered","")</f>
        <v/>
      </c>
      <c r="I112" s="138"/>
      <c r="J112" s="248">
        <f t="shared" ref="J112:J114" si="42">IF(K112="x",0,IF(F112="n/a","N/A",IF(F112="free","FREE",IF(I112=0,SUM(G112*F112),SUM(I112*F112)))))</f>
        <v>0</v>
      </c>
      <c r="K112" s="281"/>
      <c r="L112" s="194"/>
      <c r="M112" s="194"/>
      <c r="N112" s="184">
        <f t="shared" ref="N112:N115" si="43">IF($J$11="ret",IF(G112&gt;9,J112*15%,0),0)</f>
        <v>0</v>
      </c>
      <c r="O112" s="184">
        <f t="shared" ref="O112:O115" si="44">IF($J$11="ret",IF(G112&gt;49,J112*10%,0),0)</f>
        <v>0</v>
      </c>
      <c r="P112" s="184">
        <f t="shared" ref="P112:P115" si="45">IF($J$11="ret",IF(G112&gt;99,J112*5%,0),0)</f>
        <v>0</v>
      </c>
      <c r="Q112" s="185">
        <f>IF($J$11="fld",IF(K112&gt;0,J112*$G$124,0),SUM(N112:P112))</f>
        <v>0</v>
      </c>
      <c r="R112" s="19"/>
    </row>
    <row r="113" spans="1:18" s="41" customFormat="1" hidden="1">
      <c r="A113" s="244" t="s">
        <v>513</v>
      </c>
      <c r="B113" s="418" t="s">
        <v>531</v>
      </c>
      <c r="C113" s="419"/>
      <c r="D113" s="419"/>
      <c r="E113" s="420"/>
      <c r="F113" s="39">
        <f>IF($J$11="fld",VLOOKUP(A113,'price sheet'!$A$3:$F$162,4,FALSE),IF($J$11="ret",VLOOKUP(A113,'price sheet'!$A$3:$F$162,6,FALSE),IF($J$11="par",VLOOKUP(A113,'price sheet'!$A$3:$F$162,5,FALSE),VLOOKUP(A113,'price sheet'!$A$3:$F$162,6,FALSE))))</f>
        <v>1.8</v>
      </c>
      <c r="G113" s="138"/>
      <c r="H113" s="461" t="str">
        <f>IF(K113="X","Back Ordered","")</f>
        <v/>
      </c>
      <c r="I113" s="138"/>
      <c r="J113" s="248">
        <f t="shared" si="42"/>
        <v>0</v>
      </c>
      <c r="K113" s="281"/>
      <c r="L113" s="194"/>
      <c r="M113" s="194"/>
      <c r="N113" s="184">
        <f t="shared" si="43"/>
        <v>0</v>
      </c>
      <c r="O113" s="184">
        <f t="shared" si="44"/>
        <v>0</v>
      </c>
      <c r="P113" s="184">
        <f t="shared" si="45"/>
        <v>0</v>
      </c>
      <c r="Q113" s="185">
        <f>IF($J$11="fld",IF(K113&gt;0,J113*$G$124,0),SUM(N113:P113))</f>
        <v>0</v>
      </c>
      <c r="R113" s="19"/>
    </row>
    <row r="114" spans="1:18" s="41" customFormat="1">
      <c r="A114" s="35" t="s">
        <v>228</v>
      </c>
      <c r="B114" s="418" t="s">
        <v>665</v>
      </c>
      <c r="C114" s="419"/>
      <c r="D114" s="419"/>
      <c r="E114" s="420"/>
      <c r="F114" s="39">
        <f>IF($J$11="fld",VLOOKUP(A114,'price sheet'!$A$3:$F$162,4,FALSE),IF($J$11="ret",VLOOKUP(A114,'price sheet'!$A$3:$F$162,6,FALSE),IF($J$11="par",VLOOKUP(A114,'price sheet'!$A$3:$F$162,5,FALSE),VLOOKUP(A114,'price sheet'!$A$3:$F$162,6,FALSE))))</f>
        <v>22</v>
      </c>
      <c r="G114" s="138"/>
      <c r="H114" s="461"/>
      <c r="I114" s="138"/>
      <c r="J114" s="248">
        <f t="shared" si="42"/>
        <v>0</v>
      </c>
      <c r="K114" s="281"/>
      <c r="L114" s="194"/>
      <c r="M114" s="194"/>
      <c r="N114" s="184">
        <f t="shared" si="43"/>
        <v>0</v>
      </c>
      <c r="O114" s="184">
        <f t="shared" si="44"/>
        <v>0</v>
      </c>
      <c r="P114" s="184">
        <f t="shared" si="45"/>
        <v>0</v>
      </c>
      <c r="Q114" s="185">
        <f>IF($J$11="fld",IF(K114&gt;0,J114*$G$124,0),SUM(N114:P114))</f>
        <v>0</v>
      </c>
      <c r="R114" s="19"/>
    </row>
    <row r="115" spans="1:18" s="41" customFormat="1">
      <c r="A115" s="244" t="s">
        <v>138</v>
      </c>
      <c r="B115" s="418" t="s">
        <v>646</v>
      </c>
      <c r="C115" s="419"/>
      <c r="D115" s="419"/>
      <c r="E115" s="420"/>
      <c r="F115" s="39">
        <f>IF($J$11="fld",VLOOKUP(A115,'price sheet'!$A$3:$F$162,4,FALSE),IF($J$11="ret",VLOOKUP(A115,'price sheet'!$A$3:$F$162,6,FALSE),IF($J$11="par",VLOOKUP(A115,'price sheet'!$A$3:$F$162,5,FALSE),VLOOKUP(A115,'price sheet'!$A$3:$F$162,6,FALSE))))</f>
        <v>8</v>
      </c>
      <c r="G115" s="138"/>
      <c r="H115" s="461" t="str">
        <f>IF(K115="X","Back Ordered","")</f>
        <v/>
      </c>
      <c r="I115" s="138"/>
      <c r="J115" s="248">
        <f>IF(K115="x",0,IF(F115="n/a","N/A",IF(F115="free","FREE",IF(I115=0,SUM(G115*F115),SUM(I115*F115)))))</f>
        <v>0</v>
      </c>
      <c r="K115" s="281"/>
      <c r="L115" s="194"/>
      <c r="M115" s="194"/>
      <c r="N115" s="184">
        <f t="shared" si="43"/>
        <v>0</v>
      </c>
      <c r="O115" s="184">
        <f t="shared" si="44"/>
        <v>0</v>
      </c>
      <c r="P115" s="184">
        <f t="shared" si="45"/>
        <v>0</v>
      </c>
      <c r="Q115" s="185">
        <f>IF($J$11="fld",IF(K115&gt;0,J115*$G$124,0),SUM(N115:P115))</f>
        <v>0</v>
      </c>
      <c r="R115" s="19"/>
    </row>
    <row r="116" spans="1:18" s="41" customFormat="1" ht="13.5" thickBot="1">
      <c r="A116" s="68"/>
      <c r="B116" s="69"/>
      <c r="C116" s="69"/>
      <c r="D116" s="69"/>
      <c r="E116" s="292"/>
      <c r="F116" s="288"/>
      <c r="G116" s="241" t="e">
        <f>SUM(G14:G114)-SUM(#REF!)</f>
        <v>#REF!</v>
      </c>
      <c r="I116" s="70"/>
      <c r="J116" s="376" t="e">
        <f>J111+J108+#REF!+J101+J94+J76+J62+J47+J37+J25+J14</f>
        <v>#REF!</v>
      </c>
      <c r="K116" s="199"/>
      <c r="L116" s="189"/>
      <c r="M116" s="189"/>
      <c r="N116" s="184"/>
      <c r="O116" s="184"/>
      <c r="P116" s="184"/>
      <c r="Q116" s="440">
        <f>SUM(Q15:Q115)</f>
        <v>0</v>
      </c>
    </row>
    <row r="117" spans="1:18" s="41" customFormat="1" ht="13.5" thickTop="1">
      <c r="E117" s="293"/>
      <c r="F117" s="442" t="e">
        <f>IF(I127="pick up",0,IF(G127&gt;0,IF(I127=" ",SUM(G127*1.15),0),IF(J125=0,0,IF(K127&gt;0,0,IF(J125&lt;=10,D120,IF(J125&lt;=30,D121,IF(J125&lt;=50,D122,K126)))))))</f>
        <v>#REF!</v>
      </c>
      <c r="G117" s="75"/>
      <c r="H117" s="75"/>
      <c r="I117" s="75"/>
      <c r="J117" s="275"/>
      <c r="K117" s="203"/>
      <c r="L117" s="189"/>
      <c r="M117" s="189"/>
      <c r="N117" s="194"/>
      <c r="O117" s="194"/>
      <c r="P117" s="194"/>
      <c r="Q117" s="195"/>
    </row>
    <row r="118" spans="1:18" s="41" customFormat="1">
      <c r="A118" s="550" t="s">
        <v>275</v>
      </c>
      <c r="B118" s="551"/>
      <c r="C118" s="551"/>
      <c r="D118" s="552"/>
      <c r="E118" s="293"/>
      <c r="F118" s="289"/>
      <c r="J118" s="276"/>
      <c r="K118" s="203"/>
      <c r="L118" s="189"/>
      <c r="M118" s="189"/>
      <c r="N118" s="194"/>
      <c r="O118" s="194"/>
      <c r="P118" s="194"/>
      <c r="Q118" s="195"/>
    </row>
    <row r="119" spans="1:18" s="41" customFormat="1">
      <c r="A119" s="209" t="s">
        <v>435</v>
      </c>
      <c r="B119" s="453"/>
      <c r="C119" s="453"/>
      <c r="D119" s="454"/>
      <c r="E119" s="293"/>
      <c r="F119" s="290"/>
      <c r="G119" s="250"/>
      <c r="H119" s="200"/>
      <c r="I119" s="200"/>
      <c r="J119" s="276"/>
      <c r="K119" s="203"/>
      <c r="L119" s="189"/>
      <c r="M119" s="189"/>
      <c r="N119" s="194"/>
      <c r="O119" s="194"/>
      <c r="P119" s="194"/>
      <c r="Q119" s="195"/>
    </row>
    <row r="120" spans="1:18" s="41" customFormat="1">
      <c r="A120" s="171"/>
      <c r="B120" s="172" t="s">
        <v>434</v>
      </c>
      <c r="C120" s="173" t="s">
        <v>426</v>
      </c>
      <c r="D120" s="174">
        <v>5.95</v>
      </c>
      <c r="E120" s="293"/>
      <c r="F120" s="291"/>
      <c r="G120" s="250" t="s">
        <v>481</v>
      </c>
      <c r="H120" s="200"/>
      <c r="I120" s="200"/>
      <c r="J120" s="276"/>
      <c r="K120" s="203"/>
      <c r="L120" s="251"/>
      <c r="M120" s="251"/>
      <c r="N120" s="251"/>
      <c r="O120" s="251"/>
      <c r="P120" s="194"/>
      <c r="Q120" s="195"/>
    </row>
    <row r="121" spans="1:18" s="41" customFormat="1">
      <c r="A121" s="175"/>
      <c r="B121" s="74" t="s">
        <v>433</v>
      </c>
      <c r="C121" s="455" t="s">
        <v>426</v>
      </c>
      <c r="D121" s="176">
        <v>9.9499999999999993</v>
      </c>
      <c r="E121" s="293"/>
      <c r="F121" s="291"/>
      <c r="G121" s="166">
        <v>43120</v>
      </c>
      <c r="H121" s="201"/>
      <c r="I121" s="201"/>
      <c r="J121" s="282">
        <v>0</v>
      </c>
      <c r="K121" s="203"/>
      <c r="L121" s="251"/>
      <c r="M121" s="443"/>
      <c r="N121" s="251"/>
      <c r="O121" s="251"/>
      <c r="P121" s="194"/>
      <c r="Q121" s="195"/>
    </row>
    <row r="122" spans="1:18" s="41" customFormat="1">
      <c r="A122" s="175"/>
      <c r="B122" s="74" t="s">
        <v>432</v>
      </c>
      <c r="C122" s="455" t="s">
        <v>426</v>
      </c>
      <c r="D122" s="176">
        <v>14.95</v>
      </c>
      <c r="E122" s="293"/>
      <c r="F122" s="290"/>
      <c r="G122" s="166">
        <v>43110</v>
      </c>
      <c r="H122" s="201"/>
      <c r="I122" s="201"/>
      <c r="J122" s="282" t="e">
        <f>J116-J121</f>
        <v>#REF!</v>
      </c>
      <c r="K122" s="213" t="s">
        <v>424</v>
      </c>
      <c r="L122" s="251"/>
      <c r="M122" s="443" t="s">
        <v>634</v>
      </c>
      <c r="N122" s="251"/>
      <c r="O122" s="251"/>
      <c r="P122" s="194"/>
      <c r="Q122" s="195"/>
    </row>
    <row r="123" spans="1:18" s="41" customFormat="1">
      <c r="A123" s="171"/>
      <c r="B123" s="172" t="s">
        <v>431</v>
      </c>
      <c r="C123" s="455" t="s">
        <v>426</v>
      </c>
      <c r="D123" s="177">
        <v>17.95</v>
      </c>
      <c r="E123" s="83" t="s">
        <v>22</v>
      </c>
      <c r="F123" s="84"/>
      <c r="G123" s="456" t="s">
        <v>500</v>
      </c>
      <c r="H123" s="238"/>
      <c r="I123" s="238"/>
      <c r="J123" s="283" t="e">
        <f>SUM(J121:J122)</f>
        <v>#REF!</v>
      </c>
      <c r="K123" s="213"/>
      <c r="L123" s="251"/>
      <c r="M123" s="443" t="s">
        <v>505</v>
      </c>
      <c r="N123" s="253"/>
      <c r="O123" s="251"/>
      <c r="P123" s="194"/>
      <c r="Q123" s="195"/>
    </row>
    <row r="124" spans="1:18" s="41" customFormat="1">
      <c r="A124" s="168"/>
      <c r="B124" s="169" t="s">
        <v>430</v>
      </c>
      <c r="C124" s="455" t="s">
        <v>426</v>
      </c>
      <c r="D124" s="170">
        <v>21.95</v>
      </c>
      <c r="E124" s="87"/>
      <c r="F124" s="84" t="s">
        <v>486</v>
      </c>
      <c r="G124" s="272"/>
      <c r="H124" s="239"/>
      <c r="I124" s="239" t="e">
        <f>IF(J123=0,"",IF(J124/J123&lt;=0,"",J124/J123))</f>
        <v>#REF!</v>
      </c>
      <c r="J124" s="284">
        <f>IF(G124&gt;0,G124*J123,Q116)</f>
        <v>0</v>
      </c>
      <c r="K124" s="213"/>
      <c r="L124" s="251"/>
      <c r="M124" s="443" t="s">
        <v>499</v>
      </c>
      <c r="N124" s="251"/>
      <c r="O124" s="251"/>
      <c r="P124" s="194"/>
      <c r="Q124" s="195"/>
    </row>
    <row r="125" spans="1:18" s="41" customFormat="1" ht="12.75" customHeight="1">
      <c r="A125" s="457"/>
      <c r="B125" s="169" t="s">
        <v>429</v>
      </c>
      <c r="C125" s="455" t="s">
        <v>426</v>
      </c>
      <c r="D125" s="170">
        <v>25.95</v>
      </c>
      <c r="E125" s="87"/>
      <c r="F125" s="439" t="s">
        <v>184</v>
      </c>
      <c r="G125" s="89" t="e">
        <f>IF(SUM(J121:J122)=J125+J124,"","??")</f>
        <v>#REF!</v>
      </c>
      <c r="H125" s="89"/>
      <c r="I125" s="89"/>
      <c r="J125" s="285" t="e">
        <f>SUM(J123-J124)</f>
        <v>#REF!</v>
      </c>
      <c r="K125" s="213"/>
      <c r="L125" s="251"/>
      <c r="M125" s="443" t="s">
        <v>498</v>
      </c>
      <c r="N125" s="251"/>
      <c r="O125" s="251"/>
      <c r="P125" s="194"/>
      <c r="Q125" s="195"/>
    </row>
    <row r="126" spans="1:18" s="41" customFormat="1" ht="12.75" customHeight="1">
      <c r="A126" s="457"/>
      <c r="B126" s="169" t="s">
        <v>428</v>
      </c>
      <c r="C126" s="455" t="s">
        <v>426</v>
      </c>
      <c r="D126" s="170">
        <v>29.95</v>
      </c>
      <c r="E126" s="83"/>
      <c r="F126" s="88" t="s">
        <v>64</v>
      </c>
      <c r="G126" s="456" t="s">
        <v>500</v>
      </c>
      <c r="H126" s="89"/>
      <c r="I126" s="89"/>
      <c r="J126" s="274" t="e">
        <f>IF(G127&gt;0,0,IF(F117&gt;0,F117,F118))</f>
        <v>#REF!</v>
      </c>
      <c r="K126" s="211" t="e">
        <f>IF(J125&lt;=70,D123,IF(J125&lt;=100,D124,IF(J125&lt;=200,D125,IF(J125&lt;=300,D126,D127))))</f>
        <v>#REF!</v>
      </c>
      <c r="L126" s="251"/>
      <c r="M126" s="443"/>
      <c r="N126" s="251"/>
      <c r="O126" s="251"/>
      <c r="P126" s="194"/>
      <c r="Q126" s="195"/>
    </row>
    <row r="127" spans="1:18" s="41" customFormat="1" ht="12.75" customHeight="1">
      <c r="A127" s="171"/>
      <c r="B127" s="458" t="s">
        <v>427</v>
      </c>
      <c r="C127" s="455" t="s">
        <v>426</v>
      </c>
      <c r="D127" s="170">
        <v>32.950000000000003</v>
      </c>
      <c r="E127" s="197"/>
      <c r="F127" s="84" t="s">
        <v>316</v>
      </c>
      <c r="G127" s="273"/>
      <c r="H127" s="89"/>
      <c r="I127" s="271" t="s">
        <v>634</v>
      </c>
      <c r="J127" s="286" t="e">
        <f>IF(OR(I127=" ",I127="pick up"),0,SUM((F117+G127)*1.15))</f>
        <v>#REF!</v>
      </c>
      <c r="K127" s="441"/>
      <c r="L127" s="251"/>
      <c r="M127" s="251"/>
      <c r="N127" s="251"/>
      <c r="O127" s="251"/>
      <c r="P127" s="194"/>
      <c r="Q127" s="195"/>
    </row>
    <row r="128" spans="1:18" s="41" customFormat="1" ht="15.75" customHeight="1">
      <c r="A128" s="578" t="s">
        <v>546</v>
      </c>
      <c r="B128" s="579"/>
      <c r="C128" s="579"/>
      <c r="D128" s="580"/>
      <c r="E128" s="83"/>
      <c r="F128" s="88" t="s">
        <v>413</v>
      </c>
      <c r="G128" s="89"/>
      <c r="H128" s="89"/>
      <c r="I128" s="89"/>
      <c r="J128" s="198" t="s">
        <v>497</v>
      </c>
      <c r="K128" s="222"/>
      <c r="L128" s="252"/>
      <c r="M128" s="252"/>
      <c r="N128" s="251"/>
      <c r="O128" s="251"/>
      <c r="P128" s="194"/>
      <c r="Q128" s="195"/>
    </row>
    <row r="129" spans="1:17" s="41" customFormat="1" ht="17.25" customHeight="1">
      <c r="A129" s="578"/>
      <c r="B129" s="579"/>
      <c r="C129" s="579"/>
      <c r="D129" s="580"/>
      <c r="E129" s="91"/>
      <c r="F129" s="92" t="s">
        <v>86</v>
      </c>
      <c r="G129" s="93"/>
      <c r="H129" s="93"/>
      <c r="I129" s="93"/>
      <c r="J129" s="94" t="e">
        <f>SUM(J125+F117+J127)</f>
        <v>#REF!</v>
      </c>
      <c r="K129" s="19"/>
      <c r="L129" s="252"/>
      <c r="M129" s="19"/>
      <c r="N129" s="251"/>
      <c r="O129" s="251"/>
      <c r="P129" s="194"/>
      <c r="Q129" s="195"/>
    </row>
    <row r="130" spans="1:17" s="41" customFormat="1" ht="15.75">
      <c r="A130" s="581"/>
      <c r="B130" s="582"/>
      <c r="C130" s="582"/>
      <c r="D130" s="583"/>
      <c r="J130" s="365" t="str">
        <f>IF(F10="approved",IF(G10&gt;0,"","Get Card Approved"),"")</f>
        <v/>
      </c>
      <c r="K130" s="19"/>
      <c r="L130" s="19"/>
      <c r="M130" s="19"/>
      <c r="O130" s="194"/>
      <c r="P130" s="194"/>
      <c r="Q130" s="195"/>
    </row>
    <row r="131" spans="1:17" s="41" customFormat="1">
      <c r="A131" s="95"/>
      <c r="B131" s="96"/>
      <c r="C131" s="96"/>
      <c r="D131" s="96"/>
      <c r="E131" s="423"/>
      <c r="F131" s="423"/>
      <c r="G131" s="423"/>
      <c r="H131" s="423"/>
      <c r="I131" s="423"/>
      <c r="J131" s="423"/>
      <c r="K131" s="19"/>
      <c r="L131" s="19"/>
      <c r="M131" s="19"/>
      <c r="O131" s="194"/>
      <c r="P131" s="194"/>
      <c r="Q131" s="195"/>
    </row>
    <row r="132" spans="1:17">
      <c r="A132" s="577" t="s">
        <v>659</v>
      </c>
      <c r="B132" s="577"/>
      <c r="C132" s="577"/>
      <c r="D132" s="577"/>
      <c r="E132" s="577"/>
      <c r="F132" s="577"/>
      <c r="G132" s="422"/>
      <c r="H132" s="422"/>
      <c r="I132" s="422"/>
      <c r="J132" s="422"/>
      <c r="K132" s="203"/>
    </row>
    <row r="133" spans="1:17">
      <c r="A133" s="577" t="s">
        <v>616</v>
      </c>
      <c r="B133" s="577"/>
      <c r="C133" s="577"/>
      <c r="D133" s="577"/>
      <c r="E133" s="577"/>
      <c r="F133" s="577"/>
      <c r="G133" s="422"/>
      <c r="H133" s="422"/>
      <c r="I133" s="422"/>
      <c r="J133" s="422"/>
      <c r="K133" s="203"/>
    </row>
    <row r="134" spans="1:17">
      <c r="A134" s="577" t="s">
        <v>545</v>
      </c>
      <c r="B134" s="577"/>
      <c r="C134" s="577"/>
      <c r="D134" s="577"/>
      <c r="E134" s="577"/>
      <c r="F134" s="577"/>
      <c r="G134" s="422"/>
      <c r="H134" s="422"/>
      <c r="I134" s="422"/>
      <c r="J134" s="422"/>
      <c r="K134" s="203"/>
    </row>
    <row r="135" spans="1:17">
      <c r="A135" s="422"/>
      <c r="B135" s="427"/>
      <c r="C135" s="427"/>
      <c r="D135" s="427"/>
      <c r="E135" s="427"/>
      <c r="F135" s="427"/>
      <c r="G135" s="427"/>
      <c r="H135" s="427"/>
      <c r="I135" s="427"/>
      <c r="K135" s="203"/>
    </row>
    <row r="136" spans="1:17" s="19" customFormat="1" ht="12.75" customHeight="1">
      <c r="A136" s="577" t="s">
        <v>143</v>
      </c>
      <c r="B136" s="577"/>
      <c r="C136" s="577"/>
      <c r="D136" s="577"/>
      <c r="E136" s="577"/>
      <c r="F136" s="577"/>
      <c r="G136" s="426"/>
      <c r="H136" s="426"/>
      <c r="I136" s="426"/>
      <c r="J136" s="287"/>
      <c r="K136" s="203"/>
      <c r="L136" s="194"/>
      <c r="M136" s="194"/>
      <c r="N136" s="184"/>
      <c r="O136" s="184"/>
      <c r="P136" s="184"/>
      <c r="Q136" s="185"/>
    </row>
    <row r="137" spans="1:17" s="41" customFormat="1">
      <c r="A137" s="577" t="s">
        <v>655</v>
      </c>
      <c r="B137" s="577"/>
      <c r="C137" s="577"/>
      <c r="D137" s="577"/>
      <c r="E137" s="577"/>
      <c r="F137" s="577"/>
      <c r="G137" s="426"/>
      <c r="H137" s="426"/>
      <c r="I137" s="426"/>
      <c r="J137" s="287"/>
      <c r="K137" s="203"/>
      <c r="L137" s="194"/>
      <c r="M137" s="194"/>
      <c r="N137" s="194"/>
      <c r="O137" s="194"/>
      <c r="P137" s="194"/>
      <c r="Q137" s="195"/>
    </row>
    <row r="138" spans="1:17" s="41" customFormat="1">
      <c r="A138" s="426"/>
      <c r="B138" s="426"/>
      <c r="C138" s="426"/>
      <c r="D138" s="426"/>
      <c r="E138" s="426"/>
      <c r="F138" s="426"/>
      <c r="G138" s="426"/>
      <c r="H138" s="426"/>
      <c r="I138" s="426"/>
      <c r="J138" s="287"/>
      <c r="K138" s="281"/>
      <c r="L138" s="194"/>
      <c r="M138" s="194"/>
      <c r="N138" s="194"/>
      <c r="O138" s="194"/>
      <c r="P138" s="194"/>
      <c r="Q138" s="195"/>
    </row>
    <row r="139" spans="1:17" s="41" customFormat="1">
      <c r="B139" s="422"/>
      <c r="C139" s="422"/>
      <c r="D139" s="422"/>
      <c r="E139" s="422"/>
      <c r="F139" s="422"/>
      <c r="G139" s="422"/>
      <c r="H139" s="422"/>
      <c r="I139" s="422"/>
      <c r="J139" s="422"/>
      <c r="K139" s="281"/>
      <c r="L139" s="194"/>
      <c r="M139" s="194"/>
      <c r="N139" s="194"/>
      <c r="O139" s="194"/>
      <c r="P139" s="194"/>
      <c r="Q139" s="195"/>
    </row>
  </sheetData>
  <sheetProtection algorithmName="SHA-512" hashValue="eGsqVsH4ZUNscZ9FIdnEL2Myt7VShIvKYE/5id/MEJ5oO0AQr4CmPUVQGuDYk/lAUqaNkOzG+eH1+naEnlyf/w==" saltValue="Klndm4mH4O3lJ/oaPsbSxA==" spinCount="100000" sheet="1" objects="1" scenarios="1"/>
  <mergeCells count="32">
    <mergeCell ref="A132:F132"/>
    <mergeCell ref="A133:F133"/>
    <mergeCell ref="A134:F134"/>
    <mergeCell ref="A136:F136"/>
    <mergeCell ref="A137:F137"/>
    <mergeCell ref="G6:J6"/>
    <mergeCell ref="C7:E7"/>
    <mergeCell ref="F7:G7"/>
    <mergeCell ref="B8:E8"/>
    <mergeCell ref="G8:J8"/>
    <mergeCell ref="B10:E10"/>
    <mergeCell ref="G11:I11"/>
    <mergeCell ref="B14:E14"/>
    <mergeCell ref="B25:E25"/>
    <mergeCell ref="B47:E47"/>
    <mergeCell ref="B62:E62"/>
    <mergeCell ref="B76:E76"/>
    <mergeCell ref="B94:E94"/>
    <mergeCell ref="B101:E101"/>
    <mergeCell ref="A128:D130"/>
    <mergeCell ref="B108:E108"/>
    <mergeCell ref="B111:E111"/>
    <mergeCell ref="A118:D118"/>
    <mergeCell ref="G9:J9"/>
    <mergeCell ref="B9:E9"/>
    <mergeCell ref="B37:E37"/>
    <mergeCell ref="A1:J1"/>
    <mergeCell ref="A2:J2"/>
    <mergeCell ref="A3:J3"/>
    <mergeCell ref="C4:E4"/>
    <mergeCell ref="B5:E5"/>
    <mergeCell ref="G5:J5"/>
  </mergeCells>
  <conditionalFormatting sqref="F10">
    <cfRule type="expression" dxfId="1" priority="1">
      <formula>$G$9&gt;0</formula>
    </cfRule>
  </conditionalFormatting>
  <dataValidations count="1">
    <dataValidation type="list" allowBlank="1" showInputMessage="1" showErrorMessage="1" sqref="I127" xr:uid="{00000000-0002-0000-0100-000000000000}">
      <formula1>carriers</formula1>
    </dataValidation>
  </dataValidations>
  <pageMargins left="0.25" right="0.25" top="0.75" bottom="0.75" header="0.3" footer="0.3"/>
  <pageSetup scale="73" orientation="portrait" r:id="rId1"/>
  <rowBreaks count="2" manualBreakCount="2">
    <brk id="75" max="9" man="1"/>
    <brk id="148" max="9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66"/>
  <sheetViews>
    <sheetView view="pageBreakPreview" topLeftCell="A11" zoomScale="140" zoomScaleNormal="100" zoomScaleSheetLayoutView="140" workbookViewId="0">
      <selection activeCell="K64" sqref="K64"/>
    </sheetView>
  </sheetViews>
  <sheetFormatPr defaultColWidth="8.85546875" defaultRowHeight="12.75"/>
  <cols>
    <col min="1" max="1" width="9.7109375" style="149" customWidth="1"/>
    <col min="2" max="2" width="11" style="149" customWidth="1"/>
    <col min="3" max="3" width="10.7109375" style="149" customWidth="1"/>
    <col min="4" max="4" width="12.7109375" style="149" customWidth="1"/>
    <col min="5" max="5" width="14.42578125" style="149" customWidth="1"/>
    <col min="6" max="6" width="14.28515625" style="149" customWidth="1"/>
    <col min="7" max="7" width="11.7109375" style="149" customWidth="1"/>
    <col min="8" max="8" width="1.42578125" style="149" customWidth="1"/>
    <col min="9" max="9" width="12.5703125" style="149" bestFit="1" customWidth="1"/>
    <col min="10" max="10" width="10.28515625" style="149" customWidth="1"/>
    <col min="11" max="11" width="9.140625" style="471" customWidth="1"/>
    <col min="12" max="18" width="8.85546875" style="471"/>
    <col min="19" max="16384" width="8.85546875" style="149"/>
  </cols>
  <sheetData>
    <row r="1" spans="1:95" s="16" customFormat="1" ht="12" customHeight="1">
      <c r="A1" s="537" t="str">
        <f>IF(J11="staff","New Employee","Ministry Rep")</f>
        <v>New Employee</v>
      </c>
      <c r="B1" s="537"/>
      <c r="C1" s="537"/>
      <c r="D1" s="537"/>
      <c r="E1" s="537"/>
      <c r="F1" s="537"/>
      <c r="G1" s="537"/>
      <c r="H1" s="537"/>
      <c r="I1" s="537"/>
      <c r="J1" s="217"/>
      <c r="K1" s="428"/>
      <c r="L1" s="428"/>
      <c r="M1" s="428"/>
      <c r="N1" s="428"/>
      <c r="O1" s="428"/>
      <c r="P1" s="429"/>
      <c r="Q1" s="428"/>
      <c r="R1" s="428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</row>
    <row r="2" spans="1:95" s="16" customFormat="1" ht="12" customHeight="1">
      <c r="A2" s="538" t="s">
        <v>504</v>
      </c>
      <c r="B2" s="539"/>
      <c r="C2" s="539"/>
      <c r="D2" s="539"/>
      <c r="E2" s="539"/>
      <c r="F2" s="539"/>
      <c r="G2" s="539"/>
      <c r="H2" s="539"/>
      <c r="I2" s="539"/>
      <c r="J2" s="218"/>
      <c r="K2" s="430"/>
      <c r="L2" s="430"/>
      <c r="M2" s="428"/>
      <c r="N2" s="428"/>
      <c r="O2" s="428"/>
      <c r="P2" s="429"/>
      <c r="Q2" s="428"/>
      <c r="R2" s="428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</row>
    <row r="3" spans="1:95" s="16" customFormat="1" ht="12" customHeight="1">
      <c r="A3" s="543" t="s">
        <v>441</v>
      </c>
      <c r="B3" s="543"/>
      <c r="C3" s="543"/>
      <c r="D3" s="543"/>
      <c r="E3" s="543"/>
      <c r="F3" s="543"/>
      <c r="G3" s="543"/>
      <c r="H3" s="543"/>
      <c r="I3" s="543"/>
      <c r="J3" s="218"/>
      <c r="K3" s="430"/>
      <c r="L3" s="430"/>
      <c r="M3" s="428"/>
      <c r="N3" s="428"/>
      <c r="O3" s="428"/>
      <c r="P3" s="429"/>
      <c r="Q3" s="428"/>
      <c r="R3" s="428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</row>
    <row r="4" spans="1:95" s="9" customFormat="1" ht="12" customHeight="1">
      <c r="A4" s="157" t="s">
        <v>324</v>
      </c>
      <c r="B4" s="56"/>
      <c r="C4" s="540"/>
      <c r="D4" s="541"/>
      <c r="E4" s="541"/>
      <c r="F4" s="242" t="s">
        <v>417</v>
      </c>
      <c r="G4" s="165"/>
      <c r="H4" s="156"/>
      <c r="I4" s="156" t="s">
        <v>418</v>
      </c>
      <c r="J4" s="444"/>
      <c r="K4" s="430"/>
      <c r="L4" s="430"/>
      <c r="M4" s="428"/>
      <c r="N4" s="428"/>
      <c r="O4" s="428"/>
      <c r="P4" s="429"/>
      <c r="Q4" s="428"/>
      <c r="R4" s="428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</row>
    <row r="5" spans="1:95" s="19" customFormat="1" ht="12" customHeight="1">
      <c r="A5" s="158" t="s">
        <v>326</v>
      </c>
      <c r="B5" s="524"/>
      <c r="C5" s="533"/>
      <c r="D5" s="533"/>
      <c r="E5" s="534"/>
      <c r="F5" s="156" t="s">
        <v>421</v>
      </c>
      <c r="G5" s="544"/>
      <c r="H5" s="525"/>
      <c r="I5" s="525"/>
      <c r="J5" s="526"/>
      <c r="K5" s="430"/>
      <c r="L5" s="431"/>
      <c r="M5" s="431"/>
      <c r="N5" s="431"/>
      <c r="O5" s="431"/>
      <c r="P5" s="432"/>
      <c r="Q5" s="431"/>
      <c r="R5" s="431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</row>
    <row r="6" spans="1:95" s="19" customFormat="1" ht="12" customHeight="1">
      <c r="A6" s="158" t="s">
        <v>422</v>
      </c>
      <c r="B6" s="159"/>
      <c r="C6" s="19" t="s">
        <v>423</v>
      </c>
      <c r="D6" s="159"/>
      <c r="F6" s="156" t="s">
        <v>325</v>
      </c>
      <c r="G6" s="547"/>
      <c r="H6" s="548"/>
      <c r="I6" s="548"/>
      <c r="J6" s="549"/>
      <c r="K6" s="430"/>
      <c r="L6" s="431"/>
      <c r="M6" s="431"/>
      <c r="N6" s="431"/>
      <c r="O6" s="431"/>
      <c r="P6" s="432"/>
      <c r="Q6" s="431"/>
      <c r="R6" s="431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</row>
    <row r="7" spans="1:95" s="17" customFormat="1" ht="12" customHeight="1">
      <c r="A7" s="14" t="s">
        <v>327</v>
      </c>
      <c r="B7" s="164"/>
      <c r="C7" s="542"/>
      <c r="D7" s="541"/>
      <c r="E7" s="541"/>
      <c r="F7" s="607" t="s">
        <v>510</v>
      </c>
      <c r="G7" s="608"/>
      <c r="H7" s="156"/>
      <c r="I7" s="605"/>
      <c r="J7" s="606"/>
      <c r="K7" s="430"/>
      <c r="L7" s="431"/>
      <c r="M7" s="428"/>
      <c r="N7" s="428"/>
      <c r="O7" s="428"/>
      <c r="P7" s="429"/>
      <c r="Q7" s="428"/>
      <c r="R7" s="428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</row>
    <row r="8" spans="1:95" s="19" customFormat="1" ht="12" customHeight="1">
      <c r="A8" s="14" t="s">
        <v>23</v>
      </c>
      <c r="B8" s="524"/>
      <c r="C8" s="533"/>
      <c r="D8" s="533"/>
      <c r="E8" s="534"/>
      <c r="F8" s="156" t="str">
        <f>IF($J$11="fld","Shipped to:","Paid by:")</f>
        <v>Paid by:</v>
      </c>
      <c r="G8" s="524"/>
      <c r="H8" s="525"/>
      <c r="I8" s="525"/>
      <c r="J8" s="526"/>
      <c r="K8" s="430"/>
      <c r="L8" s="431"/>
      <c r="M8" s="431"/>
      <c r="N8" s="431"/>
      <c r="O8" s="431"/>
      <c r="P8" s="432"/>
      <c r="Q8" s="431"/>
      <c r="R8" s="431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</row>
    <row r="9" spans="1:95" s="19" customFormat="1" ht="12" customHeight="1">
      <c r="A9" s="14" t="s">
        <v>23</v>
      </c>
      <c r="B9" s="524"/>
      <c r="C9" s="533"/>
      <c r="D9" s="533"/>
      <c r="E9" s="534"/>
      <c r="F9" s="156" t="s">
        <v>420</v>
      </c>
      <c r="G9" s="521"/>
      <c r="H9" s="522"/>
      <c r="I9" s="522"/>
      <c r="J9" s="523"/>
      <c r="K9" s="431"/>
      <c r="L9" s="431"/>
      <c r="M9" s="431"/>
      <c r="N9" s="431"/>
      <c r="O9" s="431"/>
      <c r="P9" s="432"/>
      <c r="Q9" s="431"/>
      <c r="R9" s="431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</row>
    <row r="10" spans="1:95" s="19" customFormat="1" ht="12" customHeight="1">
      <c r="A10" s="14" t="s">
        <v>25</v>
      </c>
      <c r="B10" s="524"/>
      <c r="C10" s="535"/>
      <c r="D10" s="535"/>
      <c r="E10" s="536"/>
      <c r="F10" s="475" t="str">
        <f>IF(G9&gt;0,"Approved","")</f>
        <v/>
      </c>
      <c r="G10" s="167"/>
      <c r="H10" s="425"/>
      <c r="I10" s="424" t="s">
        <v>419</v>
      </c>
      <c r="J10" s="179"/>
      <c r="K10" s="430"/>
      <c r="L10" s="431"/>
      <c r="M10" s="431"/>
      <c r="N10" s="431"/>
      <c r="O10" s="431"/>
      <c r="P10" s="432"/>
      <c r="Q10" s="431"/>
      <c r="R10" s="431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</row>
    <row r="11" spans="1:95" s="19" customFormat="1" ht="12" customHeight="1">
      <c r="A11" s="14" t="s">
        <v>24</v>
      </c>
      <c r="B11" s="159"/>
      <c r="C11" s="14" t="s">
        <v>26</v>
      </c>
      <c r="D11" s="210"/>
      <c r="E11" s="156" t="s">
        <v>416</v>
      </c>
      <c r="F11" s="167"/>
      <c r="G11" s="518" t="s">
        <v>282</v>
      </c>
      <c r="H11" s="519"/>
      <c r="I11" s="520"/>
      <c r="J11" s="445" t="s">
        <v>570</v>
      </c>
      <c r="K11" s="430"/>
      <c r="L11" s="431"/>
      <c r="M11" s="431"/>
      <c r="N11" s="431"/>
      <c r="O11" s="431"/>
      <c r="P11" s="432"/>
      <c r="Q11" s="431"/>
      <c r="R11" s="431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</row>
    <row r="12" spans="1:95" s="19" customFormat="1" ht="12" customHeight="1">
      <c r="A12" s="226"/>
      <c r="B12" s="466"/>
      <c r="C12" s="227"/>
      <c r="D12" s="467"/>
      <c r="E12" s="228"/>
      <c r="F12" s="446"/>
      <c r="G12" s="229"/>
      <c r="H12" s="230"/>
      <c r="I12" s="231"/>
      <c r="J12" s="206" t="s">
        <v>509</v>
      </c>
      <c r="K12" s="430"/>
      <c r="L12" s="431"/>
      <c r="M12" s="431"/>
      <c r="N12" s="431"/>
      <c r="O12" s="431"/>
      <c r="P12" s="432"/>
      <c r="Q12" s="431"/>
      <c r="R12" s="431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</row>
    <row r="13" spans="1:95" s="33" customFormat="1" ht="15.75">
      <c r="A13" s="47" t="s">
        <v>65</v>
      </c>
      <c r="B13" s="595" t="s">
        <v>479</v>
      </c>
      <c r="C13" s="596"/>
      <c r="D13" s="596"/>
      <c r="E13" s="597"/>
      <c r="F13" s="39" t="s">
        <v>142</v>
      </c>
      <c r="G13" s="56"/>
      <c r="H13" s="56"/>
      <c r="I13" s="202"/>
      <c r="J13" s="56"/>
      <c r="K13" s="433"/>
      <c r="L13" s="433"/>
      <c r="M13" s="433"/>
      <c r="N13" s="434"/>
      <c r="O13" s="434"/>
      <c r="P13" s="434"/>
      <c r="Q13" s="435"/>
      <c r="R13" s="436"/>
    </row>
    <row r="14" spans="1:95" s="41" customFormat="1" ht="12" customHeight="1">
      <c r="A14" s="35" t="s">
        <v>108</v>
      </c>
      <c r="B14" s="58" t="s">
        <v>127</v>
      </c>
      <c r="C14" s="60"/>
      <c r="D14" s="61"/>
      <c r="E14" s="20"/>
      <c r="F14" s="39">
        <f>VLOOKUP(A14,'price sheet'!A29:F167,4,)</f>
        <v>8.3999999999999986</v>
      </c>
      <c r="G14" s="468">
        <f>IF($J$11="staff",1,IF($J$11="min",1,""))</f>
        <v>1</v>
      </c>
      <c r="H14" s="240"/>
      <c r="I14" s="5"/>
      <c r="J14" s="40">
        <f>IF(I14="",0,IF(I14*F14=F14*G14,"Comp",(F14*I14)-(F14*G14)))</f>
        <v>0</v>
      </c>
      <c r="K14" s="469">
        <f t="shared" ref="K14:K16" si="0">IF(F14="free",0,F14*G14)</f>
        <v>8.3999999999999986</v>
      </c>
      <c r="L14" s="293"/>
      <c r="M14" s="293"/>
      <c r="N14" s="434"/>
      <c r="O14" s="434"/>
      <c r="P14" s="434"/>
      <c r="Q14" s="435"/>
      <c r="R14" s="251"/>
    </row>
    <row r="15" spans="1:95" s="41" customFormat="1" ht="12" customHeight="1">
      <c r="A15" s="35" t="s">
        <v>480</v>
      </c>
      <c r="B15" s="249" t="s">
        <v>613</v>
      </c>
      <c r="C15" s="60"/>
      <c r="D15" s="61"/>
      <c r="E15" s="38"/>
      <c r="F15" s="39">
        <f>VLOOKUP(A15,'price sheet'!A29:F168,4,)</f>
        <v>2.0999999999999996</v>
      </c>
      <c r="G15" s="468">
        <f>IF($J$11="staff",1,IF($J$11="min",1,""))</f>
        <v>1</v>
      </c>
      <c r="H15" s="240"/>
      <c r="I15" s="5"/>
      <c r="J15" s="40">
        <f>IF(I15="",0,IF(I15*F15=F15*G15,"Comp",(F15*I15)-(F15*G15)))</f>
        <v>0</v>
      </c>
      <c r="K15" s="469">
        <f t="shared" si="0"/>
        <v>2.0999999999999996</v>
      </c>
      <c r="L15" s="251"/>
      <c r="M15" s="251"/>
      <c r="N15" s="252"/>
      <c r="O15" s="252"/>
      <c r="P15" s="252"/>
      <c r="Q15" s="437"/>
      <c r="R15" s="251"/>
    </row>
    <row r="16" spans="1:95" s="41" customFormat="1" ht="12" customHeight="1">
      <c r="A16" s="244" t="s">
        <v>471</v>
      </c>
      <c r="B16" s="245" t="s">
        <v>514</v>
      </c>
      <c r="C16" s="61"/>
      <c r="D16" s="61"/>
      <c r="E16" s="20"/>
      <c r="F16" s="39">
        <f>VLOOKUP(A16,'price sheet'!A30:F169,4,)</f>
        <v>4.17</v>
      </c>
      <c r="G16" s="468">
        <f>IF($J$11="staff",1,IF($J$11="min",1,""))</f>
        <v>1</v>
      </c>
      <c r="H16" s="240"/>
      <c r="I16" s="5"/>
      <c r="J16" s="40">
        <f>IF(I16="",0,IF(I16*F16=F16*G16,"Comp",(F16*I16)-(F16*G16)))</f>
        <v>0</v>
      </c>
      <c r="K16" s="469">
        <f t="shared" si="0"/>
        <v>4.17</v>
      </c>
      <c r="L16" s="293"/>
      <c r="M16" s="293"/>
      <c r="N16" s="434"/>
      <c r="O16" s="434"/>
      <c r="P16" s="434"/>
      <c r="Q16" s="435"/>
      <c r="R16" s="251"/>
    </row>
    <row r="17" spans="1:18" s="33" customFormat="1" ht="15.75">
      <c r="A17" s="47" t="s">
        <v>65</v>
      </c>
      <c r="B17" s="595" t="s">
        <v>619</v>
      </c>
      <c r="C17" s="603"/>
      <c r="D17" s="603"/>
      <c r="E17" s="604"/>
      <c r="F17" s="39" t="s">
        <v>142</v>
      </c>
      <c r="G17" s="56"/>
      <c r="H17" s="56"/>
      <c r="I17" s="202"/>
      <c r="J17" s="56"/>
      <c r="K17" s="469"/>
      <c r="L17" s="433"/>
      <c r="M17" s="433"/>
      <c r="N17" s="434"/>
      <c r="O17" s="434"/>
      <c r="P17" s="434"/>
      <c r="Q17" s="435"/>
      <c r="R17" s="436"/>
    </row>
    <row r="18" spans="1:18" s="41" customFormat="1" ht="12.75" customHeight="1">
      <c r="A18" s="35" t="s">
        <v>150</v>
      </c>
      <c r="B18" s="58" t="s">
        <v>237</v>
      </c>
      <c r="C18" s="60"/>
      <c r="D18" s="61"/>
      <c r="E18" s="38"/>
      <c r="F18" s="39">
        <f>VLOOKUP(A18,'price sheet'!A30:F173,4,)/10</f>
        <v>7.1999999999999995E-2</v>
      </c>
      <c r="G18" s="468">
        <f>IF($J$11="staff",5,IF($J$11="min",5,""))</f>
        <v>5</v>
      </c>
      <c r="H18" s="240"/>
      <c r="I18" s="5"/>
      <c r="J18" s="40">
        <f t="shared" ref="J18:J24" si="1">IF(I18="",0,IF(I18*F18=F18*G18,"Comp",(F18*I18)-(F18*G18)))</f>
        <v>0</v>
      </c>
      <c r="K18" s="469">
        <f t="shared" ref="K18:K24" si="2">IF(F18="free",0,F18*G18)</f>
        <v>0.36</v>
      </c>
      <c r="L18" s="293"/>
      <c r="M18" s="293"/>
      <c r="N18" s="434"/>
      <c r="O18" s="434"/>
      <c r="P18" s="434"/>
      <c r="Q18" s="435"/>
      <c r="R18" s="251"/>
    </row>
    <row r="19" spans="1:18" s="41" customFormat="1">
      <c r="A19" s="35" t="s">
        <v>363</v>
      </c>
      <c r="B19" s="58" t="s">
        <v>364</v>
      </c>
      <c r="C19" s="60"/>
      <c r="D19" s="61"/>
      <c r="E19" s="38"/>
      <c r="F19" s="39">
        <f>VLOOKUP(A19,'price sheet'!A30:F174,4,)/10</f>
        <v>7.1999999999999995E-2</v>
      </c>
      <c r="G19" s="468">
        <f>IF($J$11="staff",5,IF($J$11="min",5,""))</f>
        <v>5</v>
      </c>
      <c r="H19" s="240"/>
      <c r="I19" s="5"/>
      <c r="J19" s="40">
        <f t="shared" si="1"/>
        <v>0</v>
      </c>
      <c r="K19" s="469">
        <f t="shared" si="2"/>
        <v>0.36</v>
      </c>
      <c r="L19" s="293"/>
      <c r="M19" s="293"/>
      <c r="N19" s="434"/>
      <c r="O19" s="434"/>
      <c r="P19" s="434"/>
      <c r="Q19" s="435"/>
      <c r="R19" s="251"/>
    </row>
    <row r="20" spans="1:18" s="41" customFormat="1" ht="12" customHeight="1">
      <c r="A20" s="35" t="s">
        <v>245</v>
      </c>
      <c r="B20" s="35" t="s">
        <v>361</v>
      </c>
      <c r="C20" s="36"/>
      <c r="D20" s="37"/>
      <c r="E20" s="38"/>
      <c r="F20" s="39">
        <f>VLOOKUP(A20,'price sheet'!A33:F177,4,)/10</f>
        <v>7.1999999999999995E-2</v>
      </c>
      <c r="G20" s="468">
        <f>IF($J$11="staff",10,IF($J$11="min",10,""))</f>
        <v>10</v>
      </c>
      <c r="H20" s="240"/>
      <c r="I20" s="5"/>
      <c r="J20" s="40">
        <f t="shared" si="1"/>
        <v>0</v>
      </c>
      <c r="K20" s="469">
        <f t="shared" si="2"/>
        <v>0.72</v>
      </c>
      <c r="L20" s="293"/>
      <c r="M20" s="293"/>
      <c r="N20" s="434"/>
      <c r="O20" s="434"/>
      <c r="P20" s="434"/>
      <c r="Q20" s="435"/>
      <c r="R20" s="251"/>
    </row>
    <row r="21" spans="1:18" s="41" customFormat="1">
      <c r="A21" s="35" t="s">
        <v>160</v>
      </c>
      <c r="B21" s="60" t="s">
        <v>157</v>
      </c>
      <c r="C21" s="61"/>
      <c r="D21" s="61"/>
      <c r="E21" s="38"/>
      <c r="F21" s="39">
        <f>VLOOKUP(A21,'price sheet'!A33:F178,4,)/10</f>
        <v>7.1999999999999995E-2</v>
      </c>
      <c r="G21" s="468">
        <f>IF($J$11="staff",5,IF($J$11="min",5,""))</f>
        <v>5</v>
      </c>
      <c r="H21" s="240"/>
      <c r="I21" s="5"/>
      <c r="J21" s="40">
        <f t="shared" si="1"/>
        <v>0</v>
      </c>
      <c r="K21" s="469">
        <f t="shared" si="2"/>
        <v>0.36</v>
      </c>
      <c r="L21" s="293"/>
      <c r="M21" s="293"/>
      <c r="N21" s="434"/>
      <c r="O21" s="434"/>
      <c r="P21" s="434"/>
      <c r="Q21" s="435"/>
      <c r="R21" s="251"/>
    </row>
    <row r="22" spans="1:18" s="41" customFormat="1">
      <c r="A22" s="35" t="s">
        <v>158</v>
      </c>
      <c r="B22" s="60" t="s">
        <v>156</v>
      </c>
      <c r="C22" s="61"/>
      <c r="D22" s="61"/>
      <c r="E22" s="38"/>
      <c r="F22" s="39">
        <f>VLOOKUP(A22,'price sheet'!A34:F179,4,)/10</f>
        <v>7.1999999999999995E-2</v>
      </c>
      <c r="G22" s="468">
        <f>IF($J$11="staff",25,IF($J$11="min",25,""))</f>
        <v>25</v>
      </c>
      <c r="H22" s="240"/>
      <c r="I22" s="5"/>
      <c r="J22" s="40">
        <f t="shared" si="1"/>
        <v>0</v>
      </c>
      <c r="K22" s="469">
        <f t="shared" si="2"/>
        <v>1.7999999999999998</v>
      </c>
      <c r="L22" s="293"/>
      <c r="M22" s="293"/>
      <c r="N22" s="434"/>
      <c r="O22" s="434"/>
      <c r="P22" s="434"/>
      <c r="Q22" s="435"/>
      <c r="R22" s="251"/>
    </row>
    <row r="23" spans="1:18" s="41" customFormat="1">
      <c r="A23" s="35" t="s">
        <v>162</v>
      </c>
      <c r="B23" s="36" t="s">
        <v>164</v>
      </c>
      <c r="C23" s="37"/>
      <c r="D23" s="37"/>
      <c r="E23" s="38"/>
      <c r="F23" s="39">
        <f>VLOOKUP(A23,'price sheet'!A36:F181,4,)/10</f>
        <v>7.1999999999999995E-2</v>
      </c>
      <c r="G23" s="468">
        <f>IF($J$11="staff",5,IF($J$11="min",5,""))</f>
        <v>5</v>
      </c>
      <c r="H23" s="240"/>
      <c r="I23" s="5"/>
      <c r="J23" s="40">
        <f t="shared" si="1"/>
        <v>0</v>
      </c>
      <c r="K23" s="469">
        <f t="shared" si="2"/>
        <v>0.36</v>
      </c>
      <c r="L23" s="293"/>
      <c r="M23" s="293"/>
      <c r="N23" s="434"/>
      <c r="O23" s="434"/>
      <c r="P23" s="434"/>
      <c r="Q23" s="435"/>
      <c r="R23" s="251"/>
    </row>
    <row r="24" spans="1:18" s="41" customFormat="1">
      <c r="A24" s="35" t="s">
        <v>153</v>
      </c>
      <c r="B24" s="60" t="s">
        <v>155</v>
      </c>
      <c r="C24" s="61"/>
      <c r="D24" s="61"/>
      <c r="E24" s="38"/>
      <c r="F24" s="39">
        <f>VLOOKUP(A24,'price sheet'!A38:F183,4,)/10</f>
        <v>7.1999999999999995E-2</v>
      </c>
      <c r="G24" s="468">
        <f>IF($J$11="staff",5,IF($J$11="min",5,""))</f>
        <v>5</v>
      </c>
      <c r="H24" s="240"/>
      <c r="I24" s="5"/>
      <c r="J24" s="40">
        <f t="shared" si="1"/>
        <v>0</v>
      </c>
      <c r="K24" s="469">
        <f t="shared" si="2"/>
        <v>0.36</v>
      </c>
      <c r="L24" s="293"/>
      <c r="M24" s="293"/>
      <c r="N24" s="434"/>
      <c r="O24" s="434"/>
      <c r="P24" s="434"/>
      <c r="Q24" s="435"/>
      <c r="R24" s="251"/>
    </row>
    <row r="25" spans="1:18" s="33" customFormat="1" ht="15.75">
      <c r="A25" s="47" t="s">
        <v>65</v>
      </c>
      <c r="B25" s="595" t="s">
        <v>492</v>
      </c>
      <c r="C25" s="596"/>
      <c r="D25" s="596"/>
      <c r="E25" s="597"/>
      <c r="F25" s="39" t="s">
        <v>142</v>
      </c>
      <c r="G25" s="56"/>
      <c r="H25" s="56"/>
      <c r="I25" s="202"/>
      <c r="J25" s="56"/>
      <c r="K25" s="433"/>
      <c r="L25" s="433"/>
      <c r="M25" s="433"/>
      <c r="N25" s="434"/>
      <c r="O25" s="434"/>
      <c r="P25" s="434"/>
      <c r="Q25" s="435"/>
      <c r="R25" s="436"/>
    </row>
    <row r="26" spans="1:18" s="41" customFormat="1" ht="12" customHeight="1">
      <c r="A26" s="35" t="s">
        <v>112</v>
      </c>
      <c r="B26" s="245" t="s">
        <v>511</v>
      </c>
      <c r="C26" s="61"/>
      <c r="D26" s="61"/>
      <c r="E26" s="38"/>
      <c r="F26" s="39">
        <f>VLOOKUP(A26,'price sheet'!A40:F186,4,)</f>
        <v>2.64</v>
      </c>
      <c r="G26" s="468">
        <v>1</v>
      </c>
      <c r="H26" s="240"/>
      <c r="I26" s="5"/>
      <c r="J26" s="40">
        <f>IF(I26="",0,IF(I26*F26=F26*G26,"Comp",(F26*I26)-(F26*G26)))</f>
        <v>0</v>
      </c>
      <c r="K26" s="469">
        <f t="shared" ref="K26:K27" si="3">IF(F26="free",0,F26*G26)</f>
        <v>2.64</v>
      </c>
      <c r="L26" s="293"/>
      <c r="M26" s="293"/>
      <c r="N26" s="434"/>
      <c r="O26" s="434"/>
      <c r="P26" s="434"/>
      <c r="Q26" s="435"/>
      <c r="R26" s="251"/>
    </row>
    <row r="27" spans="1:18" s="41" customFormat="1">
      <c r="A27" s="35" t="s">
        <v>483</v>
      </c>
      <c r="B27" s="61" t="s">
        <v>490</v>
      </c>
      <c r="C27" s="61"/>
      <c r="D27" s="61"/>
      <c r="E27" s="38"/>
      <c r="F27" s="39">
        <f>VLOOKUP(A27,'price sheet'!A44:F191,4,)/10</f>
        <v>0.34799999999999998</v>
      </c>
      <c r="G27" s="468">
        <f>IF($J$11="staff",4,IF($J$11="min",4,""))</f>
        <v>4</v>
      </c>
      <c r="H27" s="240"/>
      <c r="I27" s="5"/>
      <c r="J27" s="40">
        <f>IF(I27="",0,IF(I27*F27=F27*G27,"Comp",(F27*I27)-(F27*G27)))</f>
        <v>0</v>
      </c>
      <c r="K27" s="469">
        <f t="shared" si="3"/>
        <v>1.3919999999999999</v>
      </c>
      <c r="L27" s="293"/>
      <c r="M27" s="293"/>
      <c r="N27" s="434"/>
      <c r="O27" s="434"/>
      <c r="P27" s="434"/>
      <c r="Q27" s="435"/>
      <c r="R27" s="251"/>
    </row>
    <row r="28" spans="1:18" s="41" customFormat="1" ht="18.75" customHeight="1">
      <c r="A28" s="47" t="s">
        <v>65</v>
      </c>
      <c r="B28" s="595" t="s">
        <v>147</v>
      </c>
      <c r="C28" s="596"/>
      <c r="D28" s="596"/>
      <c r="E28" s="597"/>
      <c r="F28" s="39"/>
      <c r="G28" s="221"/>
      <c r="H28" s="221"/>
      <c r="I28" s="220"/>
      <c r="J28" s="221"/>
      <c r="K28" s="293"/>
      <c r="L28" s="293"/>
      <c r="M28" s="293"/>
      <c r="N28" s="434"/>
      <c r="O28" s="434"/>
      <c r="P28" s="434"/>
      <c r="Q28" s="435"/>
      <c r="R28" s="251"/>
    </row>
    <row r="29" spans="1:18" s="41" customFormat="1">
      <c r="A29" s="244" t="s">
        <v>208</v>
      </c>
      <c r="B29" s="35" t="s">
        <v>503</v>
      </c>
      <c r="C29" s="36"/>
      <c r="D29" s="37"/>
      <c r="E29" s="38"/>
      <c r="F29" s="39">
        <f>VLOOKUP(A29,'price sheet'!A47:F194,4,)</f>
        <v>0.06</v>
      </c>
      <c r="G29" s="468">
        <f>IF($J$11="staff",250,IF($J$11="min",100,""))</f>
        <v>250</v>
      </c>
      <c r="H29" s="53"/>
      <c r="I29" s="5"/>
      <c r="J29" s="40">
        <f t="shared" ref="J29:J33" si="4">IF(I29="",0,IF(I29*F29=F29*G29,"Comp",(F29*I29)-(F29*G29)))</f>
        <v>0</v>
      </c>
      <c r="K29" s="469">
        <f t="shared" ref="K29:K33" si="5">IF(F29="free",0,F29*G29)</f>
        <v>15</v>
      </c>
      <c r="L29" s="293"/>
      <c r="M29" s="434"/>
      <c r="N29" s="434"/>
      <c r="O29" s="434"/>
      <c r="P29" s="435"/>
      <c r="Q29" s="293"/>
      <c r="R29" s="251"/>
    </row>
    <row r="30" spans="1:18" s="41" customFormat="1">
      <c r="A30" s="35" t="s">
        <v>243</v>
      </c>
      <c r="B30" s="35" t="s">
        <v>244</v>
      </c>
      <c r="C30" s="36"/>
      <c r="D30" s="37"/>
      <c r="E30" s="38"/>
      <c r="F30" s="270" t="s">
        <v>140</v>
      </c>
      <c r="G30" s="468">
        <f>IF($J$11="staff",500,IF($J$11="min",IF(I7&gt;0,250,0)))</f>
        <v>500</v>
      </c>
      <c r="H30" s="240"/>
      <c r="I30" s="5"/>
      <c r="J30" s="40">
        <f>IF(OR(F30="Free",I30=""),0,IF(I30*F30=F30*G30,"Comp",(F30*I30)-(F30*G30)))</f>
        <v>0</v>
      </c>
      <c r="K30" s="469">
        <f t="shared" si="5"/>
        <v>0</v>
      </c>
      <c r="L30" s="251"/>
      <c r="M30" s="251"/>
      <c r="N30" s="252"/>
      <c r="O30" s="252"/>
      <c r="P30" s="252"/>
      <c r="Q30" s="437"/>
      <c r="R30" s="251"/>
    </row>
    <row r="31" spans="1:18" s="41" customFormat="1">
      <c r="A31" s="35" t="s">
        <v>148</v>
      </c>
      <c r="B31" s="35" t="s">
        <v>476</v>
      </c>
      <c r="C31" s="36"/>
      <c r="D31" s="37"/>
      <c r="E31" s="38"/>
      <c r="F31" s="270" t="s">
        <v>140</v>
      </c>
      <c r="G31" s="468">
        <f>IF($J$11="staff",25,IF($J$11="min",25,""))</f>
        <v>25</v>
      </c>
      <c r="H31" s="240"/>
      <c r="I31" s="5"/>
      <c r="J31" s="40">
        <f>IF(OR(F31="Free",I31=""),0,IF(I31*F31=F31*G31,"Comp",(F31*I31)-(F31*G31)))</f>
        <v>0</v>
      </c>
      <c r="K31" s="469">
        <f t="shared" si="5"/>
        <v>0</v>
      </c>
      <c r="L31" s="251"/>
      <c r="M31" s="251"/>
      <c r="N31" s="252"/>
      <c r="O31" s="252"/>
      <c r="P31" s="252"/>
      <c r="Q31" s="437"/>
      <c r="R31" s="251"/>
    </row>
    <row r="32" spans="1:18" s="41" customFormat="1" hidden="1">
      <c r="A32" s="35" t="s">
        <v>159</v>
      </c>
      <c r="B32" s="58" t="s">
        <v>241</v>
      </c>
      <c r="C32" s="60"/>
      <c r="D32" s="61"/>
      <c r="E32" s="38"/>
      <c r="F32" s="39">
        <f>SUM(VLOOKUP(A32,'price sheet'!A36:F182,3,)*90%)</f>
        <v>0.67500000000000004</v>
      </c>
      <c r="G32" s="468">
        <f>IF($J$11="staff",20,IF($J$11="min",20,""))</f>
        <v>20</v>
      </c>
      <c r="H32" s="240"/>
      <c r="I32" s="5"/>
      <c r="J32" s="40">
        <f t="shared" si="4"/>
        <v>0</v>
      </c>
      <c r="K32" s="469">
        <f t="shared" si="5"/>
        <v>13.5</v>
      </c>
      <c r="L32" s="293"/>
      <c r="M32" s="293"/>
      <c r="N32" s="434"/>
      <c r="O32" s="434"/>
      <c r="P32" s="434"/>
      <c r="Q32" s="435"/>
      <c r="R32" s="251"/>
    </row>
    <row r="33" spans="1:18" s="41" customFormat="1">
      <c r="A33" s="244" t="s">
        <v>161</v>
      </c>
      <c r="B33" s="244" t="s">
        <v>548</v>
      </c>
      <c r="C33" s="36"/>
      <c r="D33" s="37"/>
      <c r="E33" s="38"/>
      <c r="F33" s="39">
        <f>VLOOKUP(A33,'price sheet'!A50:F198,4,)/10</f>
        <v>0.34799999999999998</v>
      </c>
      <c r="G33" s="468">
        <v>25</v>
      </c>
      <c r="H33" s="240"/>
      <c r="I33" s="5"/>
      <c r="J33" s="40">
        <f t="shared" si="4"/>
        <v>0</v>
      </c>
      <c r="K33" s="469">
        <f t="shared" si="5"/>
        <v>8.6999999999999993</v>
      </c>
      <c r="L33" s="293"/>
      <c r="M33" s="293"/>
      <c r="N33" s="434"/>
      <c r="O33" s="434"/>
      <c r="P33" s="434"/>
      <c r="Q33" s="435"/>
      <c r="R33" s="251"/>
    </row>
    <row r="34" spans="1:18" s="33" customFormat="1" ht="15.75">
      <c r="A34" s="47" t="s">
        <v>65</v>
      </c>
      <c r="B34" s="595" t="s">
        <v>654</v>
      </c>
      <c r="C34" s="603"/>
      <c r="D34" s="603"/>
      <c r="E34" s="604"/>
      <c r="F34" s="39" t="s">
        <v>142</v>
      </c>
      <c r="G34" s="56"/>
      <c r="H34" s="56"/>
      <c r="I34" s="202"/>
      <c r="J34" s="56"/>
      <c r="K34" s="469"/>
      <c r="L34" s="433"/>
      <c r="M34" s="433"/>
      <c r="N34" s="434"/>
      <c r="O34" s="434"/>
      <c r="P34" s="434"/>
      <c r="Q34" s="435"/>
      <c r="R34" s="436"/>
    </row>
    <row r="35" spans="1:18" s="41" customFormat="1">
      <c r="A35" s="244" t="s">
        <v>442</v>
      </c>
      <c r="B35" s="245" t="s">
        <v>59</v>
      </c>
      <c r="C35" s="61"/>
      <c r="D35" s="61"/>
      <c r="E35" s="478"/>
      <c r="F35" s="270" t="s">
        <v>140</v>
      </c>
      <c r="G35" s="468">
        <f>IF($J$11="staff",5,IF($J$11="min",5,""))</f>
        <v>5</v>
      </c>
      <c r="H35" s="240"/>
      <c r="I35" s="5"/>
      <c r="J35" s="40">
        <f t="shared" ref="J35:J36" si="6">IF(I35="",0,IF(I35*F35=F35*G35,"Comp",(F35*I35)-(F35*G35)))</f>
        <v>0</v>
      </c>
      <c r="K35" s="469">
        <f t="shared" ref="K35:K36" si="7">IF(F35="free",0,F35*G35)</f>
        <v>0</v>
      </c>
      <c r="L35" s="293"/>
      <c r="M35" s="293"/>
      <c r="N35" s="434"/>
      <c r="O35" s="434"/>
      <c r="P35" s="434"/>
      <c r="Q35" s="435"/>
      <c r="R35" s="251"/>
    </row>
    <row r="36" spans="1:18" s="41" customFormat="1">
      <c r="A36" s="244" t="s">
        <v>268</v>
      </c>
      <c r="B36" s="245" t="s">
        <v>652</v>
      </c>
      <c r="C36" s="61"/>
      <c r="D36" s="61"/>
      <c r="E36" s="478"/>
      <c r="F36" s="270" t="s">
        <v>140</v>
      </c>
      <c r="G36" s="468">
        <f>IF($J$11="staff",5,IF($J$11="min",5,""))</f>
        <v>5</v>
      </c>
      <c r="H36" s="240"/>
      <c r="I36" s="5"/>
      <c r="J36" s="40">
        <f t="shared" si="6"/>
        <v>0</v>
      </c>
      <c r="K36" s="469">
        <f t="shared" si="7"/>
        <v>0</v>
      </c>
      <c r="L36" s="293"/>
      <c r="M36" s="293"/>
      <c r="N36" s="434"/>
      <c r="O36" s="434"/>
      <c r="P36" s="434"/>
      <c r="Q36" s="435"/>
      <c r="R36" s="251"/>
    </row>
    <row r="37" spans="1:18" s="41" customFormat="1">
      <c r="A37" s="35" t="s">
        <v>466</v>
      </c>
      <c r="B37" s="60" t="s">
        <v>134</v>
      </c>
      <c r="C37" s="61"/>
      <c r="D37" s="61"/>
      <c r="E37" s="478"/>
      <c r="F37" s="270" t="s">
        <v>140</v>
      </c>
      <c r="G37" s="468">
        <f>IF($J$11="staff",5,IF($J$11="min",5,""))</f>
        <v>5</v>
      </c>
      <c r="H37" s="240"/>
      <c r="I37" s="5"/>
      <c r="J37" s="40">
        <f t="shared" ref="J37" si="8">IF(I37="",0,IF(I37*F37=F37*G37,"Comp",(F37*I37)-(F37*G37)))</f>
        <v>0</v>
      </c>
      <c r="K37" s="469">
        <f t="shared" ref="K37" si="9">IF(F37="free",0,F37*G37)</f>
        <v>0</v>
      </c>
      <c r="L37" s="293"/>
      <c r="M37" s="293"/>
      <c r="N37" s="434"/>
      <c r="O37" s="434"/>
      <c r="P37" s="434"/>
      <c r="Q37" s="435"/>
      <c r="R37" s="251"/>
    </row>
    <row r="38" spans="1:18" s="41" customFormat="1" ht="12" customHeight="1">
      <c r="A38" s="35" t="s">
        <v>67</v>
      </c>
      <c r="B38" s="245" t="s">
        <v>170</v>
      </c>
      <c r="C38" s="61"/>
      <c r="D38" s="61"/>
      <c r="E38" s="478"/>
      <c r="F38" s="270" t="s">
        <v>140</v>
      </c>
      <c r="G38" s="468">
        <f>IF($J$11="staff",1,IF($J$11="min",1,""))</f>
        <v>1</v>
      </c>
      <c r="H38" s="240"/>
      <c r="I38" s="5"/>
      <c r="J38" s="40">
        <f t="shared" ref="J38:J43" si="10">IF(I38="",0,IF(I38*F38=F38*G38,"Comp",(F38*I38)-(F38*G38)))</f>
        <v>0</v>
      </c>
      <c r="K38" s="469">
        <f>IF(F38="free",0,F38*G38)</f>
        <v>0</v>
      </c>
      <c r="L38" s="293"/>
      <c r="M38" s="293"/>
      <c r="N38" s="434"/>
      <c r="O38" s="434"/>
      <c r="P38" s="434"/>
      <c r="Q38" s="435"/>
      <c r="R38" s="251"/>
    </row>
    <row r="39" spans="1:18" s="41" customFormat="1" ht="12" customHeight="1">
      <c r="A39" s="35" t="s">
        <v>69</v>
      </c>
      <c r="B39" s="60" t="s">
        <v>172</v>
      </c>
      <c r="C39" s="61"/>
      <c r="D39" s="61"/>
      <c r="E39" s="37"/>
      <c r="F39" s="270" t="s">
        <v>140</v>
      </c>
      <c r="G39" s="468">
        <f>IF($J$11="staff",1,IF($J$11="min",1,""))</f>
        <v>1</v>
      </c>
      <c r="H39" s="240"/>
      <c r="I39" s="5"/>
      <c r="J39" s="40">
        <f t="shared" si="10"/>
        <v>0</v>
      </c>
      <c r="K39" s="469">
        <f t="shared" ref="K39:K41" si="11">IF(F39="free",0,F39*G39)</f>
        <v>0</v>
      </c>
      <c r="L39" s="293"/>
      <c r="M39" s="293"/>
      <c r="N39" s="434"/>
      <c r="O39" s="434"/>
      <c r="P39" s="434"/>
      <c r="Q39" s="435"/>
      <c r="R39" s="251"/>
    </row>
    <row r="40" spans="1:18" s="41" customFormat="1" ht="12" customHeight="1">
      <c r="A40" s="35" t="s">
        <v>70</v>
      </c>
      <c r="B40" s="60" t="s">
        <v>232</v>
      </c>
      <c r="C40" s="61"/>
      <c r="D40" s="61"/>
      <c r="E40" s="37"/>
      <c r="F40" s="270" t="s">
        <v>140</v>
      </c>
      <c r="G40" s="468">
        <f>IF($J$11="staff",1,IF($J$11="min",1,""))</f>
        <v>1</v>
      </c>
      <c r="H40" s="240"/>
      <c r="I40" s="5"/>
      <c r="J40" s="40">
        <f t="shared" si="10"/>
        <v>0</v>
      </c>
      <c r="K40" s="469">
        <f t="shared" si="11"/>
        <v>0</v>
      </c>
      <c r="L40" s="293"/>
      <c r="M40" s="293"/>
      <c r="N40" s="434"/>
      <c r="O40" s="434"/>
      <c r="P40" s="434"/>
      <c r="Q40" s="435"/>
      <c r="R40" s="251"/>
    </row>
    <row r="41" spans="1:18" s="41" customFormat="1" ht="12" customHeight="1">
      <c r="A41" s="35" t="s">
        <v>68</v>
      </c>
      <c r="B41" s="60" t="s">
        <v>171</v>
      </c>
      <c r="C41" s="61"/>
      <c r="D41" s="61"/>
      <c r="E41" s="104"/>
      <c r="F41" s="270" t="s">
        <v>140</v>
      </c>
      <c r="G41" s="468">
        <f>IF($J$11="staff",1,IF($J$11="min",1,""))</f>
        <v>1</v>
      </c>
      <c r="H41" s="240"/>
      <c r="I41" s="5"/>
      <c r="J41" s="40">
        <f t="shared" si="10"/>
        <v>0</v>
      </c>
      <c r="K41" s="469">
        <f t="shared" si="11"/>
        <v>0</v>
      </c>
      <c r="L41" s="293"/>
      <c r="M41" s="293"/>
      <c r="N41" s="434"/>
      <c r="O41" s="434"/>
      <c r="P41" s="434"/>
      <c r="Q41" s="435"/>
      <c r="R41" s="251"/>
    </row>
    <row r="42" spans="1:18" s="41" customFormat="1">
      <c r="A42" s="35" t="s">
        <v>466</v>
      </c>
      <c r="B42" s="60" t="s">
        <v>134</v>
      </c>
      <c r="C42" s="61"/>
      <c r="D42" s="61"/>
      <c r="E42" s="478"/>
      <c r="F42" s="270" t="s">
        <v>140</v>
      </c>
      <c r="G42" s="468">
        <f>IF($J$11="staff",5,IF($J$11="min",5,""))</f>
        <v>5</v>
      </c>
      <c r="H42" s="240"/>
      <c r="I42" s="5"/>
      <c r="J42" s="40">
        <f t="shared" si="10"/>
        <v>0</v>
      </c>
      <c r="K42" s="469">
        <f>IF(F42="free",0,F42*G42)</f>
        <v>0</v>
      </c>
      <c r="L42" s="293"/>
      <c r="M42" s="293"/>
      <c r="N42" s="434"/>
      <c r="O42" s="434"/>
      <c r="P42" s="434"/>
      <c r="Q42" s="435"/>
      <c r="R42" s="251"/>
    </row>
    <row r="43" spans="1:18" s="41" customFormat="1">
      <c r="A43" s="35" t="s">
        <v>478</v>
      </c>
      <c r="B43" s="463" t="s">
        <v>477</v>
      </c>
      <c r="C43" s="464"/>
      <c r="D43" s="464"/>
      <c r="E43" s="465"/>
      <c r="F43" s="39">
        <f>VLOOKUP(A43,'price sheet'!A51:F200,4,)</f>
        <v>1.25</v>
      </c>
      <c r="G43" s="468">
        <f>IF($J$11="staff",1,IF($J$11="min",0,""))</f>
        <v>1</v>
      </c>
      <c r="H43" s="240"/>
      <c r="I43" s="5"/>
      <c r="J43" s="40">
        <f t="shared" si="10"/>
        <v>0</v>
      </c>
      <c r="K43" s="469">
        <f>IF(F43="free",0,F43*G43)</f>
        <v>1.25</v>
      </c>
      <c r="L43" s="293"/>
      <c r="M43" s="293"/>
      <c r="N43" s="434"/>
      <c r="O43" s="434"/>
      <c r="P43" s="434"/>
      <c r="Q43" s="435"/>
      <c r="R43" s="251"/>
    </row>
    <row r="44" spans="1:18">
      <c r="K44" s="470">
        <f>SUM(K14:K43)</f>
        <v>61.471999999999994</v>
      </c>
    </row>
    <row r="45" spans="1:18" s="41" customFormat="1">
      <c r="A45" s="550" t="s">
        <v>275</v>
      </c>
      <c r="B45" s="551"/>
      <c r="C45" s="551"/>
      <c r="D45" s="552"/>
      <c r="E45" s="293"/>
      <c r="F45" s="291"/>
      <c r="G45" s="592" t="s">
        <v>481</v>
      </c>
      <c r="H45" s="593"/>
      <c r="I45" s="593"/>
      <c r="J45" s="594"/>
      <c r="K45" s="251"/>
      <c r="L45" s="251"/>
      <c r="M45" s="251"/>
      <c r="N45" s="251"/>
      <c r="O45" s="251"/>
      <c r="P45" s="251"/>
      <c r="Q45" s="438"/>
      <c r="R45" s="251"/>
    </row>
    <row r="46" spans="1:18" s="41" customFormat="1">
      <c r="A46" s="209" t="s">
        <v>435</v>
      </c>
      <c r="B46" s="453"/>
      <c r="C46" s="453"/>
      <c r="D46" s="454"/>
      <c r="E46" s="293"/>
      <c r="F46" s="291"/>
      <c r="G46" s="600" t="s">
        <v>632</v>
      </c>
      <c r="H46" s="601"/>
      <c r="I46" s="602"/>
      <c r="J46" s="224">
        <v>0</v>
      </c>
      <c r="K46" s="251"/>
      <c r="L46" s="251"/>
      <c r="M46" s="251"/>
      <c r="N46" s="251"/>
      <c r="O46" s="251"/>
      <c r="P46" s="438"/>
      <c r="Q46" s="251"/>
      <c r="R46" s="251"/>
    </row>
    <row r="47" spans="1:18" s="41" customFormat="1">
      <c r="A47" s="171"/>
      <c r="B47" s="172" t="s">
        <v>434</v>
      </c>
      <c r="C47" s="173" t="s">
        <v>426</v>
      </c>
      <c r="D47" s="174">
        <v>5.95</v>
      </c>
      <c r="E47" s="293"/>
      <c r="F47" s="290"/>
      <c r="G47" s="600" t="s">
        <v>633</v>
      </c>
      <c r="H47" s="601">
        <v>43110</v>
      </c>
      <c r="I47" s="602"/>
      <c r="J47" s="224">
        <f>SUM(K34:K43)+SUM(J34:J43)--J46</f>
        <v>1.25</v>
      </c>
      <c r="K47" s="251"/>
      <c r="L47" s="251"/>
      <c r="M47" s="251"/>
      <c r="N47" s="251"/>
      <c r="O47" s="251"/>
      <c r="P47" s="438"/>
      <c r="Q47" s="251"/>
      <c r="R47" s="251"/>
    </row>
    <row r="48" spans="1:18" s="41" customFormat="1">
      <c r="A48" s="175"/>
      <c r="B48" s="74" t="s">
        <v>433</v>
      </c>
      <c r="C48" s="455" t="s">
        <v>426</v>
      </c>
      <c r="D48" s="176">
        <v>9.9499999999999993</v>
      </c>
      <c r="E48" s="83" t="s">
        <v>22</v>
      </c>
      <c r="F48" s="84"/>
      <c r="G48" s="456" t="s">
        <v>500</v>
      </c>
      <c r="H48" s="238"/>
      <c r="I48" s="238"/>
      <c r="J48" s="85">
        <f>SUM(J46:J47)</f>
        <v>1.25</v>
      </c>
      <c r="K48" s="251"/>
      <c r="L48" s="251"/>
      <c r="M48" s="251"/>
      <c r="N48" s="251"/>
      <c r="O48" s="251"/>
      <c r="P48" s="438"/>
      <c r="Q48" s="251"/>
      <c r="R48" s="251"/>
    </row>
    <row r="49" spans="1:18" s="41" customFormat="1">
      <c r="A49" s="175"/>
      <c r="B49" s="74" t="s">
        <v>432</v>
      </c>
      <c r="C49" s="455" t="s">
        <v>426</v>
      </c>
      <c r="D49" s="176">
        <v>14.95</v>
      </c>
      <c r="E49" s="87"/>
      <c r="F49" s="84" t="s">
        <v>486</v>
      </c>
      <c r="G49" s="472"/>
      <c r="H49" s="239"/>
      <c r="I49" s="239"/>
      <c r="J49" s="134">
        <f>Q44</f>
        <v>0</v>
      </c>
      <c r="K49" s="251"/>
      <c r="L49" s="251"/>
      <c r="M49" s="251"/>
      <c r="N49" s="251"/>
      <c r="O49" s="251"/>
      <c r="P49" s="438"/>
      <c r="Q49" s="251"/>
      <c r="R49" s="251"/>
    </row>
    <row r="50" spans="1:18" s="41" customFormat="1">
      <c r="A50" s="171"/>
      <c r="B50" s="172" t="s">
        <v>431</v>
      </c>
      <c r="C50" s="455" t="s">
        <v>426</v>
      </c>
      <c r="D50" s="177">
        <v>17.95</v>
      </c>
      <c r="E50" s="87"/>
      <c r="F50" s="439" t="s">
        <v>184</v>
      </c>
      <c r="G50" s="89" t="str">
        <f>IF(SUM(J46:J47)=J50+J49,"","??")</f>
        <v/>
      </c>
      <c r="H50" s="89" t="str">
        <f>IF(SUM(J46:J47)=J50+J49,"","??")</f>
        <v/>
      </c>
      <c r="I50" s="89"/>
      <c r="J50" s="110">
        <f>SUM(J48-J49)</f>
        <v>1.25</v>
      </c>
      <c r="K50" s="251"/>
      <c r="L50" s="251" t="s">
        <v>501</v>
      </c>
      <c r="M50" s="251"/>
      <c r="N50" s="251"/>
      <c r="O50" s="251"/>
      <c r="P50" s="438"/>
      <c r="Q50" s="251"/>
      <c r="R50" s="251"/>
    </row>
    <row r="51" spans="1:18" s="41" customFormat="1">
      <c r="A51" s="168"/>
      <c r="B51" s="169" t="s">
        <v>430</v>
      </c>
      <c r="C51" s="455" t="s">
        <v>426</v>
      </c>
      <c r="D51" s="170">
        <v>21.95</v>
      </c>
      <c r="E51" s="598" t="s">
        <v>64</v>
      </c>
      <c r="F51" s="599"/>
      <c r="G51" s="473" t="s">
        <v>500</v>
      </c>
      <c r="H51" s="456"/>
      <c r="I51" s="89"/>
      <c r="J51" s="90">
        <f>IF(H52="pick up",0,IF(G52&gt;0,IF(H52=" ",SUM(G52*1.15),0),IF(J50=0,0,IF(J52&gt;0,0,IF(J50&lt;=10,D47,IF(J50&lt;=30,D48,IF(J50&lt;=50,D49,IF(J50&lt;=70,D50,K54))))))))</f>
        <v>5.95</v>
      </c>
      <c r="K51" s="251"/>
      <c r="L51" s="253"/>
      <c r="M51" s="251"/>
      <c r="N51" s="251"/>
      <c r="O51" s="438"/>
      <c r="P51" s="251"/>
      <c r="Q51" s="251"/>
      <c r="R51" s="251"/>
    </row>
    <row r="52" spans="1:18" s="41" customFormat="1">
      <c r="A52" s="457"/>
      <c r="B52" s="169" t="s">
        <v>429</v>
      </c>
      <c r="C52" s="455" t="s">
        <v>426</v>
      </c>
      <c r="D52" s="170">
        <v>25.95</v>
      </c>
      <c r="E52" s="197"/>
      <c r="F52" s="84" t="s">
        <v>316</v>
      </c>
      <c r="G52" s="476"/>
      <c r="H52" s="474"/>
      <c r="I52" s="477" t="s">
        <v>634</v>
      </c>
      <c r="J52" s="212">
        <f>IF(OR(H52=" ",H52="pick up"),0,G52*1.15)</f>
        <v>0</v>
      </c>
      <c r="K52" s="251"/>
      <c r="L52" s="251"/>
      <c r="M52" s="251"/>
      <c r="N52" s="251"/>
      <c r="O52" s="438"/>
      <c r="P52" s="251"/>
      <c r="Q52" s="251"/>
      <c r="R52" s="251"/>
    </row>
    <row r="53" spans="1:18" s="41" customFormat="1" ht="12.75" customHeight="1">
      <c r="A53" s="457"/>
      <c r="B53" s="169" t="s">
        <v>428</v>
      </c>
      <c r="C53" s="455" t="s">
        <v>426</v>
      </c>
      <c r="D53" s="170">
        <v>29.95</v>
      </c>
      <c r="E53" s="83"/>
      <c r="F53" s="88" t="s">
        <v>413</v>
      </c>
      <c r="G53" s="89"/>
      <c r="H53" s="89"/>
      <c r="I53" s="89"/>
      <c r="J53" s="223" t="s">
        <v>497</v>
      </c>
      <c r="K53" s="251"/>
      <c r="L53" s="251"/>
      <c r="M53" s="251"/>
      <c r="N53" s="251"/>
      <c r="O53" s="438"/>
      <c r="P53" s="251"/>
      <c r="Q53" s="251"/>
      <c r="R53" s="251"/>
    </row>
    <row r="54" spans="1:18" s="41" customFormat="1" ht="12.75" customHeight="1">
      <c r="A54" s="171"/>
      <c r="B54" s="458" t="s">
        <v>427</v>
      </c>
      <c r="C54" s="455" t="s">
        <v>426</v>
      </c>
      <c r="D54" s="170">
        <v>32.950000000000003</v>
      </c>
      <c r="E54" s="584" t="s">
        <v>635</v>
      </c>
      <c r="F54" s="585"/>
      <c r="G54" s="585"/>
      <c r="H54" s="585"/>
      <c r="I54" s="586"/>
      <c r="J54" s="223">
        <f>IF(J51=0,IF(H52="pick up",0,J50+J52-J55),0)</f>
        <v>0</v>
      </c>
      <c r="K54" s="438">
        <f>IF(J50&lt;=100,D51,IF(J50&lt;=200,D52,IF(J50&lt;=300,D53,D54)))</f>
        <v>21.95</v>
      </c>
      <c r="L54" s="251" t="s">
        <v>522</v>
      </c>
      <c r="M54" s="251"/>
      <c r="N54" s="251"/>
      <c r="O54" s="438"/>
      <c r="P54" s="251"/>
      <c r="Q54" s="251"/>
      <c r="R54" s="251"/>
    </row>
    <row r="55" spans="1:18" s="41" customFormat="1" ht="12.75" customHeight="1">
      <c r="A55" s="587" t="s">
        <v>279</v>
      </c>
      <c r="B55" s="539"/>
      <c r="C55" s="539"/>
      <c r="D55" s="588"/>
      <c r="E55" s="584" t="s">
        <v>636</v>
      </c>
      <c r="F55" s="585"/>
      <c r="G55" s="585"/>
      <c r="H55" s="585"/>
      <c r="I55" s="586"/>
      <c r="J55" s="243">
        <f>IF(J52&lt;K55,J50+J52,SUM(K44+J51+K55))</f>
        <v>1.25</v>
      </c>
      <c r="K55" s="251">
        <f>IF(J50&lt;=10,D47,IF(J50&lt;=30,D48,IF(J50&lt;=50,D49,IF(J50&lt;=70,D50,K54))))</f>
        <v>5.95</v>
      </c>
      <c r="L55" s="251" t="s">
        <v>523</v>
      </c>
      <c r="M55" s="251"/>
      <c r="N55" s="251"/>
      <c r="O55" s="438"/>
      <c r="P55" s="251"/>
      <c r="Q55" s="251"/>
      <c r="R55" s="251"/>
    </row>
    <row r="56" spans="1:18" s="41" customFormat="1">
      <c r="A56" s="587" t="s">
        <v>280</v>
      </c>
      <c r="B56" s="539"/>
      <c r="C56" s="539"/>
      <c r="D56" s="588"/>
      <c r="K56" s="251"/>
      <c r="L56" s="251"/>
      <c r="M56" s="251"/>
      <c r="N56" s="251"/>
      <c r="O56" s="438"/>
      <c r="P56" s="251"/>
      <c r="Q56" s="251"/>
      <c r="R56" s="251"/>
    </row>
    <row r="57" spans="1:18" s="41" customFormat="1">
      <c r="A57" s="589" t="s">
        <v>281</v>
      </c>
      <c r="B57" s="590"/>
      <c r="C57" s="590"/>
      <c r="D57" s="591"/>
      <c r="E57" s="96"/>
      <c r="F57" s="96"/>
      <c r="G57" s="96"/>
      <c r="H57" s="96"/>
      <c r="I57" s="96"/>
      <c r="J57" s="423"/>
      <c r="K57" s="251"/>
      <c r="L57" s="251"/>
      <c r="M57" s="251"/>
      <c r="N57" s="251"/>
      <c r="O57" s="438"/>
      <c r="P57" s="251"/>
      <c r="Q57" s="251"/>
      <c r="R57" s="251"/>
    </row>
    <row r="58" spans="1:18" s="41" customFormat="1">
      <c r="A58" s="95"/>
      <c r="B58" s="96"/>
      <c r="C58" s="96"/>
      <c r="D58" s="96"/>
      <c r="E58" s="96"/>
      <c r="F58" s="96"/>
      <c r="G58" s="96"/>
      <c r="H58" s="96"/>
      <c r="I58" s="96"/>
      <c r="J58" s="422"/>
      <c r="K58" s="252"/>
      <c r="L58" s="252"/>
      <c r="M58" s="252"/>
      <c r="N58" s="251"/>
      <c r="O58" s="251"/>
      <c r="P58" s="251"/>
      <c r="Q58" s="438"/>
      <c r="R58" s="251"/>
    </row>
    <row r="59" spans="1:18" s="41" customFormat="1">
      <c r="A59" s="577" t="s">
        <v>659</v>
      </c>
      <c r="B59" s="577"/>
      <c r="C59" s="577"/>
      <c r="D59" s="577"/>
      <c r="E59" s="577"/>
      <c r="F59" s="577"/>
      <c r="G59" s="577"/>
      <c r="H59" s="577"/>
      <c r="I59" s="577"/>
      <c r="J59" s="577"/>
      <c r="K59" s="252"/>
      <c r="L59" s="252"/>
      <c r="M59" s="252"/>
      <c r="N59" s="251"/>
      <c r="O59" s="251"/>
      <c r="P59" s="251"/>
      <c r="Q59" s="438"/>
      <c r="R59" s="251"/>
    </row>
    <row r="60" spans="1:18" s="9" customFormat="1">
      <c r="A60" s="577" t="s">
        <v>425</v>
      </c>
      <c r="B60" s="577"/>
      <c r="C60" s="577"/>
      <c r="D60" s="577"/>
      <c r="E60" s="577"/>
      <c r="F60" s="577"/>
      <c r="G60" s="577"/>
      <c r="H60" s="577"/>
      <c r="I60" s="577"/>
      <c r="J60" s="577"/>
      <c r="K60" s="251"/>
      <c r="L60" s="252"/>
      <c r="M60" s="251"/>
      <c r="N60" s="251"/>
      <c r="O60" s="251"/>
      <c r="P60" s="251"/>
      <c r="Q60" s="438"/>
      <c r="R60" s="251"/>
    </row>
    <row r="61" spans="1:18" s="9" customFormat="1">
      <c r="A61" s="577" t="s">
        <v>320</v>
      </c>
      <c r="B61" s="577"/>
      <c r="C61" s="577"/>
      <c r="D61" s="577"/>
      <c r="E61" s="577"/>
      <c r="F61" s="577"/>
      <c r="G61" s="577"/>
      <c r="H61" s="577"/>
      <c r="I61" s="577"/>
      <c r="J61" s="577"/>
      <c r="K61" s="251"/>
      <c r="L61" s="251"/>
      <c r="M61" s="251"/>
      <c r="N61" s="251"/>
      <c r="O61" s="251"/>
      <c r="P61" s="251"/>
      <c r="Q61" s="438"/>
      <c r="R61" s="251"/>
    </row>
    <row r="62" spans="1:18" s="9" customFormat="1">
      <c r="A62" s="422"/>
      <c r="B62" s="427"/>
      <c r="C62" s="427"/>
      <c r="D62" s="427"/>
      <c r="E62" s="426"/>
      <c r="F62" s="426"/>
      <c r="G62" s="426"/>
      <c r="H62" s="426"/>
      <c r="I62" s="426"/>
      <c r="J62" s="426"/>
      <c r="K62" s="251"/>
      <c r="L62" s="251"/>
      <c r="M62" s="251"/>
      <c r="N62" s="251"/>
      <c r="O62" s="251"/>
      <c r="P62" s="251"/>
      <c r="Q62" s="438"/>
      <c r="R62" s="251"/>
    </row>
    <row r="63" spans="1:18" s="9" customFormat="1">
      <c r="A63" s="577" t="s">
        <v>143</v>
      </c>
      <c r="B63" s="577"/>
      <c r="C63" s="577"/>
      <c r="D63" s="577"/>
      <c r="E63" s="577"/>
      <c r="F63" s="577"/>
      <c r="G63" s="577"/>
      <c r="H63" s="577"/>
      <c r="I63" s="577"/>
      <c r="J63" s="577"/>
      <c r="K63" s="251"/>
      <c r="L63" s="251"/>
      <c r="M63" s="251"/>
      <c r="N63" s="251"/>
      <c r="O63" s="251"/>
      <c r="P63" s="251"/>
      <c r="Q63" s="438"/>
      <c r="R63" s="251"/>
    </row>
    <row r="64" spans="1:18" s="19" customFormat="1" ht="12.75" customHeight="1">
      <c r="A64" s="577" t="s">
        <v>655</v>
      </c>
      <c r="B64" s="577"/>
      <c r="C64" s="577"/>
      <c r="D64" s="577"/>
      <c r="E64" s="577"/>
      <c r="F64" s="577"/>
      <c r="G64" s="577"/>
      <c r="H64" s="577"/>
      <c r="I64" s="577"/>
      <c r="J64" s="577"/>
      <c r="K64" s="251"/>
      <c r="L64" s="251"/>
      <c r="M64" s="251"/>
      <c r="N64" s="252"/>
      <c r="O64" s="252"/>
      <c r="P64" s="252"/>
      <c r="Q64" s="437"/>
      <c r="R64" s="252"/>
    </row>
    <row r="65" spans="1:18" s="41" customFormat="1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251"/>
      <c r="L65" s="251"/>
      <c r="M65" s="251"/>
      <c r="N65" s="251"/>
      <c r="O65" s="251"/>
      <c r="P65" s="251"/>
      <c r="Q65" s="438"/>
      <c r="R65" s="251"/>
    </row>
    <row r="66" spans="1:18">
      <c r="L66" s="251"/>
    </row>
  </sheetData>
  <sheetProtection algorithmName="SHA-512" hashValue="NgudZVGxri2KEpGfIAqSi9x524ls1kSDE0wPToDTYT3+IoLKerChQ+cTBVY8RckwU+uJM/wd2eJ7KuhaihoIjA==" saltValue="L/6o/byoxfNytx2YSQ9mKw==" spinCount="100000" sheet="1" objects="1" scenarios="1"/>
  <mergeCells count="36">
    <mergeCell ref="G9:J9"/>
    <mergeCell ref="B9:E9"/>
    <mergeCell ref="B13:E13"/>
    <mergeCell ref="B17:E17"/>
    <mergeCell ref="B10:E10"/>
    <mergeCell ref="G11:I11"/>
    <mergeCell ref="G6:J6"/>
    <mergeCell ref="G8:J8"/>
    <mergeCell ref="A1:I1"/>
    <mergeCell ref="A2:I2"/>
    <mergeCell ref="A3:I3"/>
    <mergeCell ref="C4:E4"/>
    <mergeCell ref="B5:E5"/>
    <mergeCell ref="G5:J5"/>
    <mergeCell ref="I7:J7"/>
    <mergeCell ref="C7:E7"/>
    <mergeCell ref="F7:G7"/>
    <mergeCell ref="B8:E8"/>
    <mergeCell ref="G45:J45"/>
    <mergeCell ref="B25:E25"/>
    <mergeCell ref="B28:E28"/>
    <mergeCell ref="E51:F51"/>
    <mergeCell ref="G47:I47"/>
    <mergeCell ref="A45:D45"/>
    <mergeCell ref="G46:I46"/>
    <mergeCell ref="B34:E34"/>
    <mergeCell ref="A64:J64"/>
    <mergeCell ref="E54:I54"/>
    <mergeCell ref="E55:I55"/>
    <mergeCell ref="A59:J59"/>
    <mergeCell ref="A60:J60"/>
    <mergeCell ref="A61:J61"/>
    <mergeCell ref="A63:J63"/>
    <mergeCell ref="A55:D55"/>
    <mergeCell ref="A56:D56"/>
    <mergeCell ref="A57:D57"/>
  </mergeCells>
  <conditionalFormatting sqref="F10">
    <cfRule type="expression" dxfId="0" priority="1">
      <formula>$G$9&gt;0</formula>
    </cfRule>
  </conditionalFormatting>
  <dataValidations count="1">
    <dataValidation type="list" allowBlank="1" showInputMessage="1" showErrorMessage="1" sqref="I52" xr:uid="{00000000-0002-0000-0200-000000000000}">
      <formula1>carriers</formula1>
    </dataValidation>
  </dataValidations>
  <pageMargins left="1" right="1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4"/>
  <sheetViews>
    <sheetView zoomScale="85" zoomScaleNormal="85" workbookViewId="0">
      <pane ySplit="2" topLeftCell="A83" activePane="bottomLeft" state="frozen"/>
      <selection pane="bottomLeft" activeCell="G116" sqref="G116"/>
    </sheetView>
  </sheetViews>
  <sheetFormatPr defaultColWidth="9.140625" defaultRowHeight="12.75"/>
  <cols>
    <col min="1" max="1" width="8.42578125" style="9" customWidth="1"/>
    <col min="2" max="2" width="8.42578125" style="397" customWidth="1"/>
    <col min="3" max="3" width="8.42578125" style="309" customWidth="1"/>
    <col min="4" max="4" width="11.7109375" style="311" customWidth="1"/>
    <col min="5" max="5" width="9.140625" style="310"/>
    <col min="6" max="6" width="10.42578125" style="310" bestFit="1" customWidth="1"/>
    <col min="7" max="7" width="46.5703125" style="149" customWidth="1"/>
    <col min="8" max="8" width="2.28515625" style="149" customWidth="1"/>
    <col min="9" max="9" width="11.5703125" style="149" customWidth="1"/>
    <col min="10" max="10" width="1.85546875" style="149" customWidth="1"/>
    <col min="11" max="11" width="12.28515625" style="149" customWidth="1"/>
    <col min="12" max="12" width="11.42578125" style="310" bestFit="1" customWidth="1"/>
    <col min="13" max="13" width="9.140625" style="398"/>
    <col min="14" max="16384" width="9.140625" style="149"/>
  </cols>
  <sheetData>
    <row r="1" spans="1:13">
      <c r="A1" s="21"/>
      <c r="B1" s="381"/>
      <c r="C1" s="294"/>
      <c r="D1" s="312"/>
      <c r="I1" s="609" t="s">
        <v>533</v>
      </c>
      <c r="J1" s="610"/>
      <c r="K1" s="610"/>
      <c r="L1" s="611"/>
    </row>
    <row r="2" spans="1:13">
      <c r="A2" s="23"/>
      <c r="B2" s="382" t="s">
        <v>142</v>
      </c>
      <c r="C2" s="295"/>
      <c r="D2" s="313"/>
      <c r="E2" s="313"/>
      <c r="F2" s="314"/>
      <c r="I2" s="247" t="s">
        <v>271</v>
      </c>
      <c r="J2" s="247"/>
      <c r="K2" s="263" t="s">
        <v>273</v>
      </c>
      <c r="L2" s="316" t="s">
        <v>272</v>
      </c>
    </row>
    <row r="3" spans="1:13" ht="15">
      <c r="A3" s="262" t="s">
        <v>21</v>
      </c>
      <c r="B3" s="383" t="s">
        <v>532</v>
      </c>
      <c r="C3" s="296"/>
      <c r="D3" s="315" t="s">
        <v>271</v>
      </c>
      <c r="E3" s="316" t="s">
        <v>273</v>
      </c>
      <c r="F3" s="316" t="s">
        <v>272</v>
      </c>
      <c r="H3" s="208">
        <v>0.4</v>
      </c>
      <c r="I3" s="268" t="str">
        <f>H3&amp;" Discount"</f>
        <v>0.4 Discount</v>
      </c>
      <c r="J3" s="378">
        <v>0.2</v>
      </c>
      <c r="K3" s="268" t="str">
        <f>J3&amp;" Discount"</f>
        <v>0.2 Discount</v>
      </c>
      <c r="L3" s="333" t="s">
        <v>617</v>
      </c>
    </row>
    <row r="4" spans="1:13">
      <c r="A4" s="35" t="s">
        <v>0</v>
      </c>
      <c r="B4" s="384">
        <v>4</v>
      </c>
      <c r="C4" s="297">
        <v>0.75</v>
      </c>
      <c r="D4" s="320" t="s">
        <v>508</v>
      </c>
      <c r="E4" s="318" t="s">
        <v>140</v>
      </c>
      <c r="F4" s="319" t="s">
        <v>140</v>
      </c>
      <c r="G4" s="255" t="str">
        <f>VLOOKUP(A4,'mat order'!$A$15:$E$132,2,)</f>
        <v>Hong Kong</v>
      </c>
      <c r="H4" s="379"/>
      <c r="I4" s="377">
        <f>L4-L4*$H$3</f>
        <v>3.5999999999999996</v>
      </c>
      <c r="J4" s="377"/>
      <c r="K4" s="377">
        <f>L4-L4*$J$3</f>
        <v>4.8</v>
      </c>
      <c r="L4" s="310">
        <f>IF(M4&gt;0,M4,ROUND(B4+(B4*C4),1))</f>
        <v>6</v>
      </c>
      <c r="M4" s="398">
        <v>6</v>
      </c>
    </row>
    <row r="5" spans="1:13">
      <c r="A5" s="35" t="s">
        <v>2</v>
      </c>
      <c r="B5" s="384">
        <v>4</v>
      </c>
      <c r="C5" s="297">
        <v>0.75</v>
      </c>
      <c r="D5" s="320" t="s">
        <v>508</v>
      </c>
      <c r="E5" s="318" t="s">
        <v>140</v>
      </c>
      <c r="F5" s="319" t="s">
        <v>140</v>
      </c>
      <c r="G5" s="255" t="str">
        <f>VLOOKUP(A5,'mat order'!$A$15:$E$132,2,)</f>
        <v>India</v>
      </c>
      <c r="H5" s="379"/>
      <c r="I5" s="377">
        <f t="shared" ref="I5:I51" si="0">L5-L5*$H$3</f>
        <v>3.5999999999999996</v>
      </c>
      <c r="J5" s="377"/>
      <c r="K5" s="377">
        <f t="shared" ref="K5:K51" si="1">L5-L5*$J$3</f>
        <v>4.8</v>
      </c>
      <c r="L5" s="310">
        <f t="shared" ref="L5:L51" si="2">IF(M5&gt;0,M5,ROUND(B5+(B5*C5),1))</f>
        <v>6</v>
      </c>
      <c r="M5" s="398">
        <v>6</v>
      </c>
    </row>
    <row r="6" spans="1:13">
      <c r="A6" s="35" t="s">
        <v>4</v>
      </c>
      <c r="B6" s="384">
        <v>4</v>
      </c>
      <c r="C6" s="297">
        <v>0.75</v>
      </c>
      <c r="D6" s="320" t="s">
        <v>508</v>
      </c>
      <c r="E6" s="318" t="s">
        <v>140</v>
      </c>
      <c r="F6" s="319" t="s">
        <v>140</v>
      </c>
      <c r="G6" s="255" t="str">
        <f>VLOOKUP(A6,'mat order'!$A$15:$E$132,2,)</f>
        <v>Indonesia</v>
      </c>
      <c r="H6" s="379"/>
      <c r="I6" s="377">
        <f t="shared" si="0"/>
        <v>3.5999999999999996</v>
      </c>
      <c r="J6" s="377"/>
      <c r="K6" s="377">
        <f t="shared" si="1"/>
        <v>4.8</v>
      </c>
      <c r="L6" s="310">
        <f t="shared" si="2"/>
        <v>6</v>
      </c>
      <c r="M6" s="398">
        <v>6</v>
      </c>
    </row>
    <row r="7" spans="1:13">
      <c r="A7" s="35" t="s">
        <v>6</v>
      </c>
      <c r="B7" s="384">
        <v>4</v>
      </c>
      <c r="C7" s="297">
        <v>0.75</v>
      </c>
      <c r="D7" s="320" t="s">
        <v>508</v>
      </c>
      <c r="E7" s="318" t="s">
        <v>140</v>
      </c>
      <c r="F7" s="319" t="s">
        <v>140</v>
      </c>
      <c r="G7" s="255" t="str">
        <f>VLOOKUP(A7,'mat order'!$A$15:$E$132,2,)</f>
        <v>Japan</v>
      </c>
      <c r="H7" s="379"/>
      <c r="I7" s="377">
        <f t="shared" si="0"/>
        <v>3.5999999999999996</v>
      </c>
      <c r="J7" s="377"/>
      <c r="K7" s="377">
        <f t="shared" si="1"/>
        <v>4.8</v>
      </c>
      <c r="L7" s="310">
        <f t="shared" si="2"/>
        <v>6</v>
      </c>
      <c r="M7" s="398">
        <v>6</v>
      </c>
    </row>
    <row r="8" spans="1:13">
      <c r="A8" s="35" t="s">
        <v>8</v>
      </c>
      <c r="B8" s="384">
        <v>4</v>
      </c>
      <c r="C8" s="297">
        <v>0.75</v>
      </c>
      <c r="D8" s="320" t="s">
        <v>508</v>
      </c>
      <c r="E8" s="318" t="s">
        <v>140</v>
      </c>
      <c r="F8" s="319" t="s">
        <v>140</v>
      </c>
      <c r="G8" s="255" t="str">
        <f>VLOOKUP(A8,'mat order'!$A$15:$E$132,2,)</f>
        <v>Malaysia</v>
      </c>
      <c r="H8" s="379"/>
      <c r="I8" s="377">
        <f t="shared" si="0"/>
        <v>3.5999999999999996</v>
      </c>
      <c r="J8" s="377"/>
      <c r="K8" s="377">
        <f t="shared" si="1"/>
        <v>4.8</v>
      </c>
      <c r="L8" s="310">
        <f t="shared" si="2"/>
        <v>6</v>
      </c>
      <c r="M8" s="398">
        <v>6</v>
      </c>
    </row>
    <row r="9" spans="1:13">
      <c r="A9" s="35" t="s">
        <v>10</v>
      </c>
      <c r="B9" s="384">
        <v>4</v>
      </c>
      <c r="C9" s="297">
        <v>0.75</v>
      </c>
      <c r="D9" s="320" t="s">
        <v>508</v>
      </c>
      <c r="E9" s="318" t="s">
        <v>140</v>
      </c>
      <c r="F9" s="319" t="s">
        <v>140</v>
      </c>
      <c r="G9" s="255" t="str">
        <f>VLOOKUP(A9,'mat order'!$A$15:$E$132,2,)</f>
        <v>Pakistan</v>
      </c>
      <c r="H9" s="379"/>
      <c r="I9" s="377">
        <f t="shared" si="0"/>
        <v>3.5999999999999996</v>
      </c>
      <c r="J9" s="377"/>
      <c r="K9" s="377">
        <f t="shared" si="1"/>
        <v>4.8</v>
      </c>
      <c r="L9" s="310">
        <f t="shared" si="2"/>
        <v>6</v>
      </c>
      <c r="M9" s="398">
        <v>6</v>
      </c>
    </row>
    <row r="10" spans="1:13">
      <c r="A10" s="35" t="s">
        <v>12</v>
      </c>
      <c r="B10" s="384">
        <v>4</v>
      </c>
      <c r="C10" s="297">
        <v>0.75</v>
      </c>
      <c r="D10" s="320" t="s">
        <v>508</v>
      </c>
      <c r="E10" s="318" t="s">
        <v>140</v>
      </c>
      <c r="F10" s="319" t="s">
        <v>140</v>
      </c>
      <c r="G10" s="255" t="str">
        <f>VLOOKUP(A10,'mat order'!$A$15:$E$132,2,)</f>
        <v>People’s Republic of China</v>
      </c>
      <c r="H10" s="379"/>
      <c r="I10" s="377">
        <f t="shared" si="0"/>
        <v>3.5999999999999996</v>
      </c>
      <c r="J10" s="377"/>
      <c r="K10" s="377">
        <f t="shared" si="1"/>
        <v>4.8</v>
      </c>
      <c r="L10" s="310">
        <f t="shared" si="2"/>
        <v>6</v>
      </c>
      <c r="M10" s="398">
        <v>6</v>
      </c>
    </row>
    <row r="11" spans="1:13">
      <c r="A11" s="35" t="s">
        <v>14</v>
      </c>
      <c r="B11" s="384">
        <v>4</v>
      </c>
      <c r="C11" s="297">
        <v>0.75</v>
      </c>
      <c r="D11" s="320" t="s">
        <v>508</v>
      </c>
      <c r="E11" s="318" t="s">
        <v>140</v>
      </c>
      <c r="F11" s="319" t="s">
        <v>140</v>
      </c>
      <c r="G11" s="255" t="str">
        <f>VLOOKUP(A11,'mat order'!$A$15:$E$132,2,)</f>
        <v>South Korea</v>
      </c>
      <c r="H11" s="379"/>
      <c r="I11" s="377">
        <f t="shared" si="0"/>
        <v>3.5999999999999996</v>
      </c>
      <c r="J11" s="377"/>
      <c r="K11" s="377">
        <f t="shared" si="1"/>
        <v>4.8</v>
      </c>
      <c r="L11" s="310">
        <f t="shared" si="2"/>
        <v>6</v>
      </c>
      <c r="M11" s="398">
        <v>6</v>
      </c>
    </row>
    <row r="12" spans="1:13">
      <c r="A12" s="35" t="s">
        <v>16</v>
      </c>
      <c r="B12" s="384">
        <v>4</v>
      </c>
      <c r="C12" s="297">
        <v>0.75</v>
      </c>
      <c r="D12" s="320" t="s">
        <v>508</v>
      </c>
      <c r="E12" s="318" t="s">
        <v>140</v>
      </c>
      <c r="F12" s="319" t="s">
        <v>140</v>
      </c>
      <c r="G12" s="255" t="str">
        <f>VLOOKUP(A12,'mat order'!$A$15:$E$132,2,)</f>
        <v>Taiwan</v>
      </c>
      <c r="H12" s="379"/>
      <c r="I12" s="377">
        <f t="shared" si="0"/>
        <v>3.5999999999999996</v>
      </c>
      <c r="J12" s="377"/>
      <c r="K12" s="377">
        <f t="shared" si="1"/>
        <v>4.8</v>
      </c>
      <c r="L12" s="310">
        <f t="shared" si="2"/>
        <v>6</v>
      </c>
      <c r="M12" s="398">
        <v>6</v>
      </c>
    </row>
    <row r="13" spans="1:13">
      <c r="A13" s="35" t="s">
        <v>18</v>
      </c>
      <c r="B13" s="384">
        <v>4</v>
      </c>
      <c r="C13" s="297">
        <v>0.75</v>
      </c>
      <c r="D13" s="320" t="s">
        <v>508</v>
      </c>
      <c r="E13" s="318" t="s">
        <v>140</v>
      </c>
      <c r="F13" s="319" t="s">
        <v>140</v>
      </c>
      <c r="G13" s="255" t="str">
        <f>VLOOKUP(A13,'mat order'!$A$15:$E$132,2,)</f>
        <v>Thailand</v>
      </c>
      <c r="H13" s="379"/>
      <c r="I13" s="377">
        <f t="shared" si="0"/>
        <v>3.5999999999999996</v>
      </c>
      <c r="J13" s="377"/>
      <c r="K13" s="377">
        <f t="shared" si="1"/>
        <v>4.8</v>
      </c>
      <c r="L13" s="310">
        <f t="shared" si="2"/>
        <v>6</v>
      </c>
      <c r="M13" s="398">
        <v>6</v>
      </c>
    </row>
    <row r="14" spans="1:13">
      <c r="A14" s="35" t="s">
        <v>28</v>
      </c>
      <c r="B14" s="384">
        <v>5.335</v>
      </c>
      <c r="C14" s="297">
        <v>0.75</v>
      </c>
      <c r="D14" s="320" t="s">
        <v>508</v>
      </c>
      <c r="E14" s="318" t="s">
        <v>140</v>
      </c>
      <c r="F14" s="319" t="s">
        <v>140</v>
      </c>
      <c r="G14" s="255" t="str">
        <f>VLOOKUP(A14,'mat order'!$A$15:$E$132,2,)</f>
        <v>Animism</v>
      </c>
      <c r="H14" s="379"/>
      <c r="I14" s="377">
        <f t="shared" si="0"/>
        <v>4.8</v>
      </c>
      <c r="J14" s="377"/>
      <c r="K14" s="377">
        <f t="shared" si="1"/>
        <v>6.4</v>
      </c>
      <c r="L14" s="310">
        <f t="shared" si="2"/>
        <v>8</v>
      </c>
      <c r="M14" s="398">
        <v>8</v>
      </c>
    </row>
    <row r="15" spans="1:13">
      <c r="A15" s="35" t="s">
        <v>30</v>
      </c>
      <c r="B15" s="384">
        <v>5.335</v>
      </c>
      <c r="C15" s="297">
        <v>0.75</v>
      </c>
      <c r="D15" s="320" t="s">
        <v>508</v>
      </c>
      <c r="E15" s="318" t="s">
        <v>140</v>
      </c>
      <c r="F15" s="319" t="s">
        <v>140</v>
      </c>
      <c r="G15" s="255" t="str">
        <f>VLOOKUP(A15,'mat order'!$A$15:$E$132,2,)</f>
        <v>Buddhism</v>
      </c>
      <c r="H15" s="379"/>
      <c r="I15" s="377">
        <f t="shared" si="0"/>
        <v>4.8</v>
      </c>
      <c r="J15" s="377"/>
      <c r="K15" s="377">
        <f t="shared" si="1"/>
        <v>6.4</v>
      </c>
      <c r="L15" s="310">
        <f t="shared" si="2"/>
        <v>8</v>
      </c>
      <c r="M15" s="398">
        <v>8</v>
      </c>
    </row>
    <row r="16" spans="1:13">
      <c r="A16" s="35" t="s">
        <v>32</v>
      </c>
      <c r="B16" s="384">
        <v>5.335</v>
      </c>
      <c r="C16" s="297">
        <v>0.75</v>
      </c>
      <c r="D16" s="320" t="s">
        <v>508</v>
      </c>
      <c r="E16" s="318" t="s">
        <v>140</v>
      </c>
      <c r="F16" s="319" t="s">
        <v>140</v>
      </c>
      <c r="G16" s="255" t="str">
        <f>VLOOKUP(A16,'mat order'!$A$15:$E$132,2,)</f>
        <v>Hinduism</v>
      </c>
      <c r="H16" s="379"/>
      <c r="I16" s="377">
        <f t="shared" si="0"/>
        <v>4.8</v>
      </c>
      <c r="J16" s="377"/>
      <c r="K16" s="377">
        <f t="shared" si="1"/>
        <v>6.4</v>
      </c>
      <c r="L16" s="310">
        <f t="shared" si="2"/>
        <v>8</v>
      </c>
      <c r="M16" s="398">
        <v>8</v>
      </c>
    </row>
    <row r="17" spans="1:13">
      <c r="A17" s="35" t="s">
        <v>34</v>
      </c>
      <c r="B17" s="384">
        <v>5.335</v>
      </c>
      <c r="C17" s="297">
        <v>0.75</v>
      </c>
      <c r="D17" s="320" t="s">
        <v>508</v>
      </c>
      <c r="E17" s="318" t="s">
        <v>140</v>
      </c>
      <c r="F17" s="319" t="s">
        <v>140</v>
      </c>
      <c r="G17" s="255" t="str">
        <f>VLOOKUP(A17,'mat order'!$A$15:$E$132,2,)</f>
        <v>How Can We Know the Bible is the Word…?</v>
      </c>
      <c r="H17" s="379"/>
      <c r="I17" s="377">
        <f t="shared" si="0"/>
        <v>4.8</v>
      </c>
      <c r="J17" s="377"/>
      <c r="K17" s="377">
        <f t="shared" si="1"/>
        <v>6.4</v>
      </c>
      <c r="L17" s="310">
        <f t="shared" si="2"/>
        <v>8</v>
      </c>
      <c r="M17" s="398">
        <v>8</v>
      </c>
    </row>
    <row r="18" spans="1:13">
      <c r="A18" s="35" t="s">
        <v>35</v>
      </c>
      <c r="B18" s="384">
        <v>5.335</v>
      </c>
      <c r="C18" s="297">
        <v>0.75</v>
      </c>
      <c r="D18" s="320" t="s">
        <v>508</v>
      </c>
      <c r="E18" s="318" t="s">
        <v>140</v>
      </c>
      <c r="F18" s="319" t="s">
        <v>140</v>
      </c>
      <c r="G18" s="255" t="str">
        <f>VLOOKUP(A18,'mat order'!$A$15:$E$132,2,)</f>
        <v>Is Jesus the Only Way to God?</v>
      </c>
      <c r="H18" s="379"/>
      <c r="I18" s="377">
        <f t="shared" si="0"/>
        <v>4.8</v>
      </c>
      <c r="J18" s="377"/>
      <c r="K18" s="377">
        <f t="shared" si="1"/>
        <v>6.4</v>
      </c>
      <c r="L18" s="310">
        <f t="shared" si="2"/>
        <v>8</v>
      </c>
      <c r="M18" s="398">
        <v>8</v>
      </c>
    </row>
    <row r="19" spans="1:13">
      <c r="A19" s="35" t="s">
        <v>36</v>
      </c>
      <c r="B19" s="384">
        <v>5.335</v>
      </c>
      <c r="C19" s="297">
        <v>0.75</v>
      </c>
      <c r="D19" s="320" t="s">
        <v>508</v>
      </c>
      <c r="E19" s="318" t="s">
        <v>140</v>
      </c>
      <c r="F19" s="319" t="s">
        <v>140</v>
      </c>
      <c r="G19" s="255" t="str">
        <f>VLOOKUP(A19,'mat order'!$A$15:$E$132,2,)</f>
        <v>Islam (pdf only)</v>
      </c>
      <c r="H19" s="379"/>
      <c r="I19" s="377">
        <f t="shared" si="0"/>
        <v>4.8</v>
      </c>
      <c r="J19" s="377"/>
      <c r="K19" s="377">
        <f t="shared" si="1"/>
        <v>6.4</v>
      </c>
      <c r="L19" s="310">
        <f t="shared" si="2"/>
        <v>8</v>
      </c>
      <c r="M19" s="398">
        <v>8</v>
      </c>
    </row>
    <row r="20" spans="1:13">
      <c r="A20" s="35" t="s">
        <v>37</v>
      </c>
      <c r="B20" s="384">
        <v>5.335</v>
      </c>
      <c r="C20" s="297">
        <v>0.75</v>
      </c>
      <c r="D20" s="320" t="s">
        <v>508</v>
      </c>
      <c r="E20" s="318" t="s">
        <v>140</v>
      </c>
      <c r="F20" s="319" t="s">
        <v>140</v>
      </c>
      <c r="G20" s="255" t="str">
        <f>VLOOKUP(A20,'mat order'!$A$15:$E$132,2,)</f>
        <v>Judaism and the Jewish People</v>
      </c>
      <c r="H20" s="379"/>
      <c r="I20" s="377">
        <f t="shared" si="0"/>
        <v>4.8</v>
      </c>
      <c r="J20" s="377"/>
      <c r="K20" s="377">
        <f t="shared" si="1"/>
        <v>6.4</v>
      </c>
      <c r="L20" s="310">
        <f t="shared" si="2"/>
        <v>8</v>
      </c>
      <c r="M20" s="398">
        <v>8</v>
      </c>
    </row>
    <row r="21" spans="1:13">
      <c r="A21" s="35" t="s">
        <v>38</v>
      </c>
      <c r="B21" s="384">
        <v>5.335</v>
      </c>
      <c r="C21" s="297">
        <v>0.75</v>
      </c>
      <c r="D21" s="320" t="s">
        <v>508</v>
      </c>
      <c r="E21" s="318" t="s">
        <v>140</v>
      </c>
      <c r="F21" s="319" t="s">
        <v>140</v>
      </c>
      <c r="G21" s="255" t="str">
        <f>VLOOKUP(A21,'mat order'!$A$15:$E$132,2,)</f>
        <v>Marxism</v>
      </c>
      <c r="H21" s="379"/>
      <c r="I21" s="377">
        <f t="shared" si="0"/>
        <v>4.8</v>
      </c>
      <c r="J21" s="377"/>
      <c r="K21" s="377">
        <f t="shared" si="1"/>
        <v>6.4</v>
      </c>
      <c r="L21" s="310">
        <f t="shared" si="2"/>
        <v>8</v>
      </c>
      <c r="M21" s="398">
        <v>8</v>
      </c>
    </row>
    <row r="22" spans="1:13">
      <c r="A22" s="35" t="s">
        <v>39</v>
      </c>
      <c r="B22" s="384">
        <v>5.335</v>
      </c>
      <c r="C22" s="297">
        <v>0.75</v>
      </c>
      <c r="D22" s="320" t="s">
        <v>508</v>
      </c>
      <c r="E22" s="318" t="s">
        <v>140</v>
      </c>
      <c r="F22" s="319" t="s">
        <v>140</v>
      </c>
      <c r="G22" s="255" t="str">
        <f>VLOOKUP(A22,'mat order'!$A$15:$E$132,2,)</f>
        <v>Secularism</v>
      </c>
      <c r="H22" s="379"/>
      <c r="I22" s="377">
        <f t="shared" si="0"/>
        <v>4.8</v>
      </c>
      <c r="J22" s="377"/>
      <c r="K22" s="377">
        <f t="shared" si="1"/>
        <v>6.4</v>
      </c>
      <c r="L22" s="310">
        <f t="shared" si="2"/>
        <v>8</v>
      </c>
      <c r="M22" s="398">
        <v>8</v>
      </c>
    </row>
    <row r="23" spans="1:13">
      <c r="A23" s="35" t="s">
        <v>40</v>
      </c>
      <c r="B23" s="384">
        <v>5.335</v>
      </c>
      <c r="C23" s="297">
        <v>0.75</v>
      </c>
      <c r="D23" s="320" t="s">
        <v>508</v>
      </c>
      <c r="E23" s="318" t="s">
        <v>140</v>
      </c>
      <c r="F23" s="319" t="s">
        <v>140</v>
      </c>
      <c r="G23" s="255" t="str">
        <f>VLOOKUP(A23,'mat order'!$A$15:$E$132,2,)</f>
        <v>Shinto</v>
      </c>
      <c r="H23" s="379"/>
      <c r="I23" s="377">
        <f t="shared" si="0"/>
        <v>4.8</v>
      </c>
      <c r="J23" s="377"/>
      <c r="K23" s="377">
        <f t="shared" si="1"/>
        <v>6.4</v>
      </c>
      <c r="L23" s="310">
        <f t="shared" si="2"/>
        <v>8</v>
      </c>
      <c r="M23" s="398">
        <v>8</v>
      </c>
    </row>
    <row r="24" spans="1:13">
      <c r="A24" s="35" t="s">
        <v>41</v>
      </c>
      <c r="B24" s="384">
        <v>5.335</v>
      </c>
      <c r="C24" s="297">
        <v>0.75</v>
      </c>
      <c r="D24" s="320" t="s">
        <v>508</v>
      </c>
      <c r="E24" s="318" t="s">
        <v>140</v>
      </c>
      <c r="F24" s="319" t="s">
        <v>140</v>
      </c>
      <c r="G24" s="255" t="str">
        <f>VLOOKUP(A24,'mat order'!$A$15:$E$132,2,)</f>
        <v>World Religions Overview</v>
      </c>
      <c r="H24" s="379"/>
      <c r="I24" s="377">
        <f t="shared" si="0"/>
        <v>4.8</v>
      </c>
      <c r="J24" s="377"/>
      <c r="K24" s="377">
        <f t="shared" si="1"/>
        <v>6.4</v>
      </c>
      <c r="L24" s="310">
        <f t="shared" si="2"/>
        <v>8</v>
      </c>
      <c r="M24" s="398">
        <v>8</v>
      </c>
    </row>
    <row r="25" spans="1:13">
      <c r="A25" s="244" t="s">
        <v>49</v>
      </c>
      <c r="B25" s="384">
        <v>3</v>
      </c>
      <c r="C25" s="297">
        <v>0.75</v>
      </c>
      <c r="D25" s="317">
        <f t="shared" ref="D25" si="3">I25</f>
        <v>3.1799999999999997</v>
      </c>
      <c r="E25" s="318">
        <f t="shared" ref="E25" si="4">K25</f>
        <v>4.24</v>
      </c>
      <c r="F25" s="319">
        <f t="shared" ref="F25" si="5">L25</f>
        <v>5.3</v>
      </c>
      <c r="G25" s="255" t="str">
        <f>VLOOKUP(A25,'mat order'!$A$15:$E$132,2,)</f>
        <v>Reaching World Leaders</v>
      </c>
      <c r="H25" s="379"/>
      <c r="I25" s="377">
        <f t="shared" ref="I25" si="6">L25-L25*$H$3</f>
        <v>3.1799999999999997</v>
      </c>
      <c r="J25" s="377"/>
      <c r="K25" s="377">
        <f t="shared" ref="K25" si="7">L25-L25*$J$3</f>
        <v>4.24</v>
      </c>
      <c r="L25" s="310">
        <f t="shared" ref="L25" si="8">IF(M25&gt;0,M25,ROUND(B25+(B25*C25),1))</f>
        <v>5.3</v>
      </c>
    </row>
    <row r="26" spans="1:13">
      <c r="A26" s="244" t="s">
        <v>573</v>
      </c>
      <c r="B26" s="384">
        <v>3</v>
      </c>
      <c r="C26" s="297">
        <v>0.75</v>
      </c>
      <c r="D26" s="317">
        <f t="shared" ref="D26:D33" si="9">I26</f>
        <v>3.1799999999999997</v>
      </c>
      <c r="E26" s="318">
        <f t="shared" ref="E26:E33" si="10">K26</f>
        <v>4.24</v>
      </c>
      <c r="F26" s="319">
        <f t="shared" ref="F26:F33" si="11">L26</f>
        <v>5.3</v>
      </c>
      <c r="G26" s="255" t="str">
        <f>VLOOKUP(A26,'mat order'!$A$15:$E$132,2,)</f>
        <v>Because of You/Because of ISI</v>
      </c>
      <c r="H26" s="379"/>
      <c r="I26" s="377">
        <f t="shared" si="0"/>
        <v>3.1799999999999997</v>
      </c>
      <c r="J26" s="377"/>
      <c r="K26" s="377">
        <f t="shared" si="1"/>
        <v>4.24</v>
      </c>
      <c r="L26" s="310">
        <f t="shared" si="2"/>
        <v>5.3</v>
      </c>
    </row>
    <row r="27" spans="1:13">
      <c r="A27" s="35" t="s">
        <v>440</v>
      </c>
      <c r="B27" s="384">
        <v>3</v>
      </c>
      <c r="C27" s="297">
        <v>0.75</v>
      </c>
      <c r="D27" s="317">
        <f t="shared" si="9"/>
        <v>3.1799999999999997</v>
      </c>
      <c r="E27" s="318">
        <f t="shared" si="10"/>
        <v>4.24</v>
      </c>
      <c r="F27" s="319">
        <f t="shared" si="11"/>
        <v>5.3</v>
      </c>
      <c r="G27" s="255" t="str">
        <f>VLOOKUP(A27,'mat order'!$A$15:$E$132,2,)</f>
        <v xml:space="preserve">The Church and ISI - includes 7 min, 4 min, &amp; bonus Material </v>
      </c>
      <c r="H27" s="379"/>
      <c r="I27" s="377">
        <f t="shared" si="0"/>
        <v>3.1799999999999997</v>
      </c>
      <c r="J27" s="377"/>
      <c r="K27" s="377">
        <f t="shared" si="1"/>
        <v>4.24</v>
      </c>
      <c r="L27" s="310">
        <f t="shared" si="2"/>
        <v>5.3</v>
      </c>
    </row>
    <row r="28" spans="1:13" s="260" customFormat="1">
      <c r="A28" s="244" t="s">
        <v>442</v>
      </c>
      <c r="B28" s="386">
        <v>3</v>
      </c>
      <c r="C28" s="402">
        <v>0.75</v>
      </c>
      <c r="D28" s="320">
        <f t="shared" si="9"/>
        <v>3.1799999999999997</v>
      </c>
      <c r="E28" s="318">
        <f t="shared" si="10"/>
        <v>4.24</v>
      </c>
      <c r="F28" s="319">
        <f t="shared" si="11"/>
        <v>5.3</v>
      </c>
      <c r="G28" s="403" t="str">
        <f>VLOOKUP(A28,'mat order'!$A$15:$E$132,2,)</f>
        <v xml:space="preserve">Getting Started with ISI </v>
      </c>
      <c r="H28" s="404"/>
      <c r="I28" s="405">
        <f t="shared" si="0"/>
        <v>3.1799999999999997</v>
      </c>
      <c r="J28" s="405"/>
      <c r="K28" s="405">
        <f t="shared" si="1"/>
        <v>4.24</v>
      </c>
      <c r="L28" s="333">
        <f t="shared" si="2"/>
        <v>5.3</v>
      </c>
      <c r="M28" s="400"/>
    </row>
    <row r="29" spans="1:13">
      <c r="A29" s="247" t="s">
        <v>572</v>
      </c>
      <c r="B29" s="384">
        <v>3</v>
      </c>
      <c r="C29" s="297">
        <v>0.75</v>
      </c>
      <c r="D29" s="317">
        <f t="shared" si="9"/>
        <v>3.1799999999999997</v>
      </c>
      <c r="E29" s="318">
        <f t="shared" si="10"/>
        <v>4.24</v>
      </c>
      <c r="F29" s="319">
        <f t="shared" si="11"/>
        <v>5.3</v>
      </c>
      <c r="G29" s="255" t="str">
        <f>VLOOKUP(A29,'mat order'!$A$15:$E$132,2,)</f>
        <v xml:space="preserve">Who Knows? (College Recruitment </v>
      </c>
      <c r="H29" s="379"/>
      <c r="I29" s="377">
        <f t="shared" si="0"/>
        <v>3.1799999999999997</v>
      </c>
      <c r="J29" s="377"/>
      <c r="K29" s="377">
        <f t="shared" si="1"/>
        <v>4.24</v>
      </c>
      <c r="L29" s="310">
        <f t="shared" si="2"/>
        <v>5.3</v>
      </c>
    </row>
    <row r="30" spans="1:13">
      <c r="A30" s="35" t="s">
        <v>443</v>
      </c>
      <c r="B30" s="384">
        <v>3</v>
      </c>
      <c r="C30" s="297">
        <v>0.75</v>
      </c>
      <c r="D30" s="317">
        <f t="shared" si="9"/>
        <v>3.1799999999999997</v>
      </c>
      <c r="E30" s="318">
        <f t="shared" si="10"/>
        <v>4.24</v>
      </c>
      <c r="F30" s="319">
        <f t="shared" si="11"/>
        <v>5.3</v>
      </c>
      <c r="G30" s="255" t="e">
        <f>VLOOKUP(A30,'mat order'!$A$15:$E$132,2,)</f>
        <v>#N/A</v>
      </c>
      <c r="H30" s="379"/>
      <c r="I30" s="377">
        <f t="shared" si="0"/>
        <v>3.1799999999999997</v>
      </c>
      <c r="J30" s="377"/>
      <c r="K30" s="377">
        <f t="shared" si="1"/>
        <v>4.24</v>
      </c>
      <c r="L30" s="310">
        <f t="shared" si="2"/>
        <v>5.3</v>
      </c>
    </row>
    <row r="31" spans="1:13">
      <c r="A31" s="35" t="s">
        <v>444</v>
      </c>
      <c r="B31" s="384">
        <v>3</v>
      </c>
      <c r="C31" s="297">
        <v>0.75</v>
      </c>
      <c r="D31" s="317">
        <f t="shared" si="9"/>
        <v>3.1799999999999997</v>
      </c>
      <c r="E31" s="318">
        <f t="shared" si="10"/>
        <v>4.24</v>
      </c>
      <c r="F31" s="319">
        <f t="shared" si="11"/>
        <v>5.3</v>
      </c>
      <c r="G31" s="255" t="str">
        <f>VLOOKUP(A31,'mat order'!$A$15:$E$132,2,)</f>
        <v xml:space="preserve">Welcome Home </v>
      </c>
      <c r="H31" s="379"/>
      <c r="I31" s="377">
        <f t="shared" si="0"/>
        <v>3.1799999999999997</v>
      </c>
      <c r="J31" s="377"/>
      <c r="K31" s="377">
        <f t="shared" si="1"/>
        <v>4.24</v>
      </c>
      <c r="L31" s="310">
        <f t="shared" si="2"/>
        <v>5.3</v>
      </c>
    </row>
    <row r="32" spans="1:13">
      <c r="A32" s="35" t="s">
        <v>445</v>
      </c>
      <c r="B32" s="384">
        <v>3</v>
      </c>
      <c r="C32" s="297">
        <v>0.75</v>
      </c>
      <c r="D32" s="317">
        <f t="shared" si="9"/>
        <v>3.1799999999999997</v>
      </c>
      <c r="E32" s="318">
        <f t="shared" si="10"/>
        <v>4.24</v>
      </c>
      <c r="F32" s="319">
        <f t="shared" si="11"/>
        <v>5.3</v>
      </c>
      <c r="G32" s="255" t="str">
        <f>VLOOKUP(A32,'mat order'!$A$15:$E$132,2,)</f>
        <v xml:space="preserve">Sharing Your Faith through ISI </v>
      </c>
      <c r="H32" s="379"/>
      <c r="I32" s="377">
        <f t="shared" si="0"/>
        <v>3.1799999999999997</v>
      </c>
      <c r="J32" s="377"/>
      <c r="K32" s="377">
        <f t="shared" si="1"/>
        <v>4.24</v>
      </c>
      <c r="L32" s="310">
        <f t="shared" si="2"/>
        <v>5.3</v>
      </c>
    </row>
    <row r="33" spans="1:12">
      <c r="A33" s="35" t="s">
        <v>67</v>
      </c>
      <c r="B33" s="384">
        <v>3.2</v>
      </c>
      <c r="C33" s="297">
        <v>0.75</v>
      </c>
      <c r="D33" s="317">
        <f t="shared" si="9"/>
        <v>3.36</v>
      </c>
      <c r="E33" s="318">
        <f t="shared" si="10"/>
        <v>4.4799999999999995</v>
      </c>
      <c r="F33" s="319">
        <f t="shared" si="11"/>
        <v>5.6</v>
      </c>
      <c r="G33" s="255" t="e">
        <f>VLOOKUP(A33,'mat order'!$A$15:$E$132,2,)</f>
        <v>#N/A</v>
      </c>
      <c r="H33" s="379"/>
      <c r="I33" s="377">
        <f t="shared" si="0"/>
        <v>3.36</v>
      </c>
      <c r="J33" s="377"/>
      <c r="K33" s="377">
        <f t="shared" si="1"/>
        <v>4.4799999999999995</v>
      </c>
      <c r="L33" s="310">
        <f t="shared" si="2"/>
        <v>5.6</v>
      </c>
    </row>
    <row r="34" spans="1:12">
      <c r="A34" s="35" t="s">
        <v>446</v>
      </c>
      <c r="B34" s="384">
        <v>2</v>
      </c>
      <c r="C34" s="297">
        <v>0.75</v>
      </c>
      <c r="D34" s="317" t="s">
        <v>140</v>
      </c>
      <c r="E34" s="318">
        <f>K34</f>
        <v>2.8</v>
      </c>
      <c r="F34" s="319">
        <f>L34</f>
        <v>3.5</v>
      </c>
      <c r="G34" s="255" t="str">
        <f>VLOOKUP(A34,'mat order'!$A$15:$E$132,2,)</f>
        <v>Discovering God Bible study (PDF)</v>
      </c>
      <c r="H34" s="379"/>
      <c r="I34" s="377">
        <f t="shared" si="0"/>
        <v>2.0999999999999996</v>
      </c>
      <c r="J34" s="377"/>
      <c r="K34" s="377">
        <f t="shared" si="1"/>
        <v>2.8</v>
      </c>
      <c r="L34" s="310">
        <f t="shared" si="2"/>
        <v>3.5</v>
      </c>
    </row>
    <row r="35" spans="1:12">
      <c r="A35" s="35" t="s">
        <v>68</v>
      </c>
      <c r="B35" s="384">
        <v>3.2</v>
      </c>
      <c r="C35" s="297">
        <v>0.75</v>
      </c>
      <c r="D35" s="317">
        <f>I35</f>
        <v>3.36</v>
      </c>
      <c r="E35" s="318">
        <f>K35</f>
        <v>4.4799999999999995</v>
      </c>
      <c r="F35" s="319">
        <f>L35</f>
        <v>5.6</v>
      </c>
      <c r="G35" s="255" t="str">
        <f>VLOOKUP(A35,'mat order'!$A$15:$E$132,2,)</f>
        <v>Walking With God Bible study - Book 2 of the Discovering God Studies</v>
      </c>
      <c r="H35" s="379"/>
      <c r="I35" s="377">
        <f t="shared" si="0"/>
        <v>3.36</v>
      </c>
      <c r="J35" s="377"/>
      <c r="K35" s="377">
        <f t="shared" si="1"/>
        <v>4.4799999999999995</v>
      </c>
      <c r="L35" s="310">
        <f t="shared" si="2"/>
        <v>5.6</v>
      </c>
    </row>
    <row r="36" spans="1:12">
      <c r="A36" s="35" t="s">
        <v>447</v>
      </c>
      <c r="B36" s="384">
        <v>2</v>
      </c>
      <c r="C36" s="297">
        <v>0.75</v>
      </c>
      <c r="D36" s="317" t="s">
        <v>140</v>
      </c>
      <c r="E36" s="318">
        <f t="shared" ref="E36:E52" si="12">K36</f>
        <v>2.8</v>
      </c>
      <c r="F36" s="319">
        <f t="shared" ref="F36:F52" si="13">L36</f>
        <v>3.5</v>
      </c>
      <c r="G36" s="255" t="str">
        <f>VLOOKUP(A36,'mat order'!$A$15:$E$132,2,)</f>
        <v>Walking with God Bible study (PDF)</v>
      </c>
      <c r="H36" s="379"/>
      <c r="I36" s="377">
        <f t="shared" si="0"/>
        <v>2.0999999999999996</v>
      </c>
      <c r="J36" s="377"/>
      <c r="K36" s="377">
        <f t="shared" si="1"/>
        <v>2.8</v>
      </c>
      <c r="L36" s="310">
        <f t="shared" si="2"/>
        <v>3.5</v>
      </c>
    </row>
    <row r="37" spans="1:12">
      <c r="A37" s="35" t="s">
        <v>69</v>
      </c>
      <c r="B37" s="384">
        <v>3.2</v>
      </c>
      <c r="C37" s="297">
        <v>0.75</v>
      </c>
      <c r="D37" s="317">
        <f>I37</f>
        <v>3.36</v>
      </c>
      <c r="E37" s="318">
        <f t="shared" si="12"/>
        <v>4.4799999999999995</v>
      </c>
      <c r="F37" s="319">
        <f t="shared" si="13"/>
        <v>5.6</v>
      </c>
      <c r="G37" s="255" t="str">
        <f>VLOOKUP(A37,'mat order'!$A$15:$E$132,2,)</f>
        <v>Putting God First Bible study - Book 3 of the Discovering God Studies</v>
      </c>
      <c r="H37" s="379"/>
      <c r="I37" s="377">
        <f t="shared" si="0"/>
        <v>3.36</v>
      </c>
      <c r="J37" s="377"/>
      <c r="K37" s="377">
        <f t="shared" si="1"/>
        <v>4.4799999999999995</v>
      </c>
      <c r="L37" s="310">
        <f t="shared" si="2"/>
        <v>5.6</v>
      </c>
    </row>
    <row r="38" spans="1:12">
      <c r="A38" s="35" t="s">
        <v>448</v>
      </c>
      <c r="B38" s="384">
        <v>2</v>
      </c>
      <c r="C38" s="297">
        <v>0.75</v>
      </c>
      <c r="D38" s="317" t="s">
        <v>140</v>
      </c>
      <c r="E38" s="318">
        <f t="shared" si="12"/>
        <v>2.8</v>
      </c>
      <c r="F38" s="319">
        <f t="shared" si="13"/>
        <v>3.5</v>
      </c>
      <c r="G38" s="255" t="str">
        <f>VLOOKUP(A38,'mat order'!$A$15:$E$132,2,)</f>
        <v>Putting God First Bible Study (PDF)</v>
      </c>
      <c r="H38" s="379"/>
      <c r="I38" s="377">
        <f t="shared" si="0"/>
        <v>2.0999999999999996</v>
      </c>
      <c r="J38" s="377"/>
      <c r="K38" s="377">
        <f t="shared" si="1"/>
        <v>2.8</v>
      </c>
      <c r="L38" s="310">
        <f t="shared" si="2"/>
        <v>3.5</v>
      </c>
    </row>
    <row r="39" spans="1:12">
      <c r="A39" s="35" t="s">
        <v>70</v>
      </c>
      <c r="B39" s="384">
        <v>3.2</v>
      </c>
      <c r="C39" s="297">
        <v>0.75</v>
      </c>
      <c r="D39" s="317">
        <f>I39</f>
        <v>3.36</v>
      </c>
      <c r="E39" s="318">
        <f t="shared" si="12"/>
        <v>4.4799999999999995</v>
      </c>
      <c r="F39" s="319">
        <f t="shared" si="13"/>
        <v>5.6</v>
      </c>
      <c r="G39" s="255" t="e">
        <f>VLOOKUP(A39,'mat order'!$A$15:$E$132,2,)</f>
        <v>#N/A</v>
      </c>
      <c r="H39" s="379"/>
      <c r="I39" s="377">
        <f t="shared" si="0"/>
        <v>3.36</v>
      </c>
      <c r="J39" s="377"/>
      <c r="K39" s="377">
        <f t="shared" si="1"/>
        <v>4.4799999999999995</v>
      </c>
      <c r="L39" s="310">
        <f t="shared" si="2"/>
        <v>5.6</v>
      </c>
    </row>
    <row r="40" spans="1:12">
      <c r="A40" s="35" t="s">
        <v>449</v>
      </c>
      <c r="B40" s="384">
        <v>2</v>
      </c>
      <c r="C40" s="297">
        <v>0.75</v>
      </c>
      <c r="D40" s="317" t="s">
        <v>140</v>
      </c>
      <c r="E40" s="318">
        <f t="shared" si="12"/>
        <v>2.8</v>
      </c>
      <c r="F40" s="319">
        <f t="shared" si="13"/>
        <v>3.5</v>
      </c>
      <c r="G40" s="255" t="str">
        <f>VLOOKUP(A40,'mat order'!$A$15:$E$132,2,)</f>
        <v>Sharing God With Others Bible study (PDF)</v>
      </c>
      <c r="H40" s="379"/>
      <c r="I40" s="377">
        <f t="shared" si="0"/>
        <v>2.0999999999999996</v>
      </c>
      <c r="J40" s="377"/>
      <c r="K40" s="377">
        <f t="shared" si="1"/>
        <v>2.8</v>
      </c>
      <c r="L40" s="310">
        <f t="shared" si="2"/>
        <v>3.5</v>
      </c>
    </row>
    <row r="41" spans="1:12">
      <c r="A41" s="35" t="s">
        <v>71</v>
      </c>
      <c r="B41" s="384">
        <v>3.2</v>
      </c>
      <c r="C41" s="297">
        <v>0.75</v>
      </c>
      <c r="D41" s="317">
        <f>I41</f>
        <v>3.36</v>
      </c>
      <c r="E41" s="318">
        <f t="shared" si="12"/>
        <v>4.4799999999999995</v>
      </c>
      <c r="F41" s="319">
        <f t="shared" si="13"/>
        <v>5.6</v>
      </c>
      <c r="G41" s="255" t="e">
        <f>VLOOKUP(A41,'mat order'!$A$15:$E$132,2,)</f>
        <v>#N/A</v>
      </c>
      <c r="H41" s="379"/>
      <c r="I41" s="377">
        <f t="shared" si="0"/>
        <v>3.36</v>
      </c>
      <c r="J41" s="377"/>
      <c r="K41" s="377">
        <f t="shared" si="1"/>
        <v>4.4799999999999995</v>
      </c>
      <c r="L41" s="310">
        <f t="shared" si="2"/>
        <v>5.6</v>
      </c>
    </row>
    <row r="42" spans="1:12">
      <c r="A42" s="35" t="s">
        <v>450</v>
      </c>
      <c r="B42" s="384">
        <v>2</v>
      </c>
      <c r="C42" s="297">
        <v>0.75</v>
      </c>
      <c r="D42" s="317" t="s">
        <v>140</v>
      </c>
      <c r="E42" s="318">
        <f t="shared" si="12"/>
        <v>2.8</v>
      </c>
      <c r="F42" s="319">
        <f t="shared" si="13"/>
        <v>3.5</v>
      </c>
      <c r="G42" s="255" t="str">
        <f>VLOOKUP(A42,'mat order'!$A$15:$E$132,2,)</f>
        <v>How Will They Hear? (PDF)</v>
      </c>
      <c r="H42" s="379"/>
      <c r="I42" s="377">
        <f t="shared" si="0"/>
        <v>2.0999999999999996</v>
      </c>
      <c r="J42" s="377"/>
      <c r="K42" s="377">
        <f t="shared" si="1"/>
        <v>2.8</v>
      </c>
      <c r="L42" s="310">
        <f t="shared" si="2"/>
        <v>3.5</v>
      </c>
    </row>
    <row r="43" spans="1:12">
      <c r="A43" s="35" t="s">
        <v>451</v>
      </c>
      <c r="B43" s="384">
        <v>2</v>
      </c>
      <c r="C43" s="297">
        <v>0.75</v>
      </c>
      <c r="D43" s="317" t="s">
        <v>140</v>
      </c>
      <c r="E43" s="318">
        <f t="shared" si="12"/>
        <v>2.8</v>
      </c>
      <c r="F43" s="319">
        <f t="shared" si="13"/>
        <v>3.5</v>
      </c>
      <c r="G43" s="255" t="str">
        <f>VLOOKUP(A43,'mat order'!$A$15:$E$132,2,)</f>
        <v>I Am, Student's version (PDF)</v>
      </c>
      <c r="H43" s="379"/>
      <c r="I43" s="377">
        <f t="shared" si="0"/>
        <v>2.0999999999999996</v>
      </c>
      <c r="J43" s="377"/>
      <c r="K43" s="377">
        <f t="shared" si="1"/>
        <v>2.8</v>
      </c>
      <c r="L43" s="310">
        <f t="shared" si="2"/>
        <v>3.5</v>
      </c>
    </row>
    <row r="44" spans="1:12">
      <c r="A44" s="35" t="s">
        <v>73</v>
      </c>
      <c r="B44" s="384">
        <v>3.2</v>
      </c>
      <c r="C44" s="297">
        <v>0.75</v>
      </c>
      <c r="D44" s="317">
        <f>I44</f>
        <v>3.36</v>
      </c>
      <c r="E44" s="318">
        <f t="shared" si="12"/>
        <v>4.4799999999999995</v>
      </c>
      <c r="F44" s="319">
        <f t="shared" si="13"/>
        <v>5.6</v>
      </c>
      <c r="G44" s="255" t="e">
        <f>VLOOKUP(A44,'mat order'!$A$15:$E$132,2,)</f>
        <v>#N/A</v>
      </c>
      <c r="H44" s="379"/>
      <c r="I44" s="377">
        <f t="shared" si="0"/>
        <v>3.36</v>
      </c>
      <c r="J44" s="377"/>
      <c r="K44" s="377">
        <f t="shared" si="1"/>
        <v>4.4799999999999995</v>
      </c>
      <c r="L44" s="310">
        <f t="shared" si="2"/>
        <v>5.6</v>
      </c>
    </row>
    <row r="45" spans="1:12">
      <c r="A45" s="35" t="s">
        <v>452</v>
      </c>
      <c r="B45" s="384">
        <v>2</v>
      </c>
      <c r="C45" s="297">
        <v>0.75</v>
      </c>
      <c r="D45" s="317" t="s">
        <v>140</v>
      </c>
      <c r="E45" s="318">
        <f t="shared" si="12"/>
        <v>2.8</v>
      </c>
      <c r="F45" s="319">
        <f t="shared" si="13"/>
        <v>3.5</v>
      </c>
      <c r="G45" s="255" t="str">
        <f>VLOOKUP(A45,'mat order'!$A$15:$E$132,2,)</f>
        <v>I Am, Leader's guide (PDF)</v>
      </c>
      <c r="H45" s="379"/>
      <c r="I45" s="377">
        <f t="shared" si="0"/>
        <v>2.0999999999999996</v>
      </c>
      <c r="J45" s="377"/>
      <c r="K45" s="377">
        <f t="shared" si="1"/>
        <v>2.8</v>
      </c>
      <c r="L45" s="310">
        <f t="shared" si="2"/>
        <v>3.5</v>
      </c>
    </row>
    <row r="46" spans="1:12">
      <c r="A46" s="35" t="s">
        <v>74</v>
      </c>
      <c r="B46" s="384">
        <v>3.2</v>
      </c>
      <c r="C46" s="297">
        <v>0.75</v>
      </c>
      <c r="D46" s="317">
        <f>I46</f>
        <v>3.36</v>
      </c>
      <c r="E46" s="318">
        <f t="shared" si="12"/>
        <v>4.4799999999999995</v>
      </c>
      <c r="F46" s="319">
        <f t="shared" si="13"/>
        <v>5.6</v>
      </c>
      <c r="G46" s="255" t="e">
        <f>VLOOKUP(A46,'mat order'!$A$15:$E$132,2,)</f>
        <v>#N/A</v>
      </c>
      <c r="H46" s="379"/>
      <c r="I46" s="377">
        <f t="shared" si="0"/>
        <v>3.36</v>
      </c>
      <c r="J46" s="377"/>
      <c r="K46" s="377">
        <f t="shared" si="1"/>
        <v>4.4799999999999995</v>
      </c>
      <c r="L46" s="310">
        <f t="shared" si="2"/>
        <v>5.6</v>
      </c>
    </row>
    <row r="47" spans="1:12">
      <c r="A47" s="35" t="s">
        <v>453</v>
      </c>
      <c r="B47" s="384">
        <v>2</v>
      </c>
      <c r="C47" s="297">
        <v>0.75</v>
      </c>
      <c r="D47" s="317" t="s">
        <v>140</v>
      </c>
      <c r="E47" s="318">
        <f t="shared" si="12"/>
        <v>2.8</v>
      </c>
      <c r="F47" s="319">
        <f t="shared" si="13"/>
        <v>3.5</v>
      </c>
      <c r="G47" s="255" t="str">
        <f>VLOOKUP(A47,'mat order'!$A$15:$E$132,2,)</f>
        <v>Jesus the Liberator, student's version (PDF)</v>
      </c>
      <c r="H47" s="379"/>
      <c r="I47" s="377">
        <f t="shared" si="0"/>
        <v>2.0999999999999996</v>
      </c>
      <c r="J47" s="377"/>
      <c r="K47" s="377">
        <f t="shared" si="1"/>
        <v>2.8</v>
      </c>
      <c r="L47" s="310">
        <f t="shared" si="2"/>
        <v>3.5</v>
      </c>
    </row>
    <row r="48" spans="1:12">
      <c r="A48" s="35" t="s">
        <v>75</v>
      </c>
      <c r="B48" s="384">
        <v>3.2</v>
      </c>
      <c r="C48" s="297">
        <v>0.75</v>
      </c>
      <c r="D48" s="317">
        <f>I48</f>
        <v>3.36</v>
      </c>
      <c r="E48" s="318">
        <f t="shared" si="12"/>
        <v>4.4799999999999995</v>
      </c>
      <c r="F48" s="319">
        <f t="shared" si="13"/>
        <v>5.6</v>
      </c>
      <c r="G48" s="255" t="e">
        <f>VLOOKUP(A48,'mat order'!$A$15:$E$132,2,)</f>
        <v>#N/A</v>
      </c>
      <c r="H48" s="379"/>
      <c r="I48" s="377">
        <f t="shared" si="0"/>
        <v>3.36</v>
      </c>
      <c r="J48" s="377"/>
      <c r="K48" s="377">
        <f t="shared" si="1"/>
        <v>4.4799999999999995</v>
      </c>
      <c r="L48" s="310">
        <f t="shared" si="2"/>
        <v>5.6</v>
      </c>
    </row>
    <row r="49" spans="1:12">
      <c r="A49" s="35" t="s">
        <v>454</v>
      </c>
      <c r="B49" s="384">
        <v>2</v>
      </c>
      <c r="C49" s="297">
        <v>0.75</v>
      </c>
      <c r="D49" s="317" t="s">
        <v>140</v>
      </c>
      <c r="E49" s="318">
        <f t="shared" si="12"/>
        <v>2.8</v>
      </c>
      <c r="F49" s="319">
        <f t="shared" si="13"/>
        <v>3.5</v>
      </c>
      <c r="G49" s="255" t="str">
        <f>VLOOKUP(A49,'mat order'!$A$15:$E$132,2,)</f>
        <v>Jesus the Liberator, leader's guide (PDF)</v>
      </c>
      <c r="H49" s="379"/>
      <c r="I49" s="377">
        <f t="shared" si="0"/>
        <v>2.0999999999999996</v>
      </c>
      <c r="J49" s="377"/>
      <c r="K49" s="377">
        <f t="shared" si="1"/>
        <v>2.8</v>
      </c>
      <c r="L49" s="310">
        <f t="shared" si="2"/>
        <v>3.5</v>
      </c>
    </row>
    <row r="50" spans="1:12">
      <c r="A50" s="35" t="s">
        <v>456</v>
      </c>
      <c r="B50" s="384">
        <v>2.335</v>
      </c>
      <c r="C50" s="297">
        <v>0.75</v>
      </c>
      <c r="D50" s="317" t="s">
        <v>140</v>
      </c>
      <c r="E50" s="318">
        <f t="shared" si="12"/>
        <v>3.28</v>
      </c>
      <c r="F50" s="319">
        <f t="shared" si="13"/>
        <v>4.0999999999999996</v>
      </c>
      <c r="G50" s="255" t="str">
        <f>VLOOKUP(A50,'mat order'!$A$15:$E$132,2,)</f>
        <v>Meeting God, Student's version (PDF)</v>
      </c>
      <c r="H50" s="379"/>
      <c r="I50" s="377">
        <f t="shared" si="0"/>
        <v>2.46</v>
      </c>
      <c r="J50" s="377"/>
      <c r="K50" s="377">
        <f t="shared" si="1"/>
        <v>3.28</v>
      </c>
      <c r="L50" s="310">
        <f t="shared" si="2"/>
        <v>4.0999999999999996</v>
      </c>
    </row>
    <row r="51" spans="1:12">
      <c r="A51" s="35" t="s">
        <v>457</v>
      </c>
      <c r="B51" s="384">
        <v>2.335</v>
      </c>
      <c r="C51" s="297">
        <v>0.75</v>
      </c>
      <c r="D51" s="317" t="s">
        <v>140</v>
      </c>
      <c r="E51" s="318">
        <f t="shared" si="12"/>
        <v>3.28</v>
      </c>
      <c r="F51" s="319">
        <f t="shared" si="13"/>
        <v>4.0999999999999996</v>
      </c>
      <c r="G51" s="255" t="str">
        <f>VLOOKUP(A51,'mat order'!$A$15:$E$132,2,)</f>
        <v>Meeting God, Leader's guide (PDF)</v>
      </c>
      <c r="H51" s="379"/>
      <c r="I51" s="377">
        <f t="shared" si="0"/>
        <v>2.46</v>
      </c>
      <c r="J51" s="377"/>
      <c r="K51" s="377">
        <f t="shared" si="1"/>
        <v>3.28</v>
      </c>
      <c r="L51" s="310">
        <f t="shared" si="2"/>
        <v>4.0999999999999996</v>
      </c>
    </row>
    <row r="52" spans="1:12">
      <c r="A52" s="35" t="s">
        <v>80</v>
      </c>
      <c r="B52" s="384">
        <v>3.87</v>
      </c>
      <c r="C52" s="297">
        <v>0.75</v>
      </c>
      <c r="D52" s="320" t="s">
        <v>140</v>
      </c>
      <c r="E52" s="318">
        <f t="shared" si="12"/>
        <v>5.4399999999999995</v>
      </c>
      <c r="F52" s="319">
        <f t="shared" si="13"/>
        <v>6.8</v>
      </c>
      <c r="G52" s="255" t="str">
        <f>VLOOKUP(A52,'mat order'!$A$15:$E$132,2,)</f>
        <v>The Challenge:  Victory (PDF)</v>
      </c>
      <c r="H52" s="379"/>
      <c r="I52" s="377">
        <f t="shared" ref="I52:I111" si="14">L52-L52*$H$3</f>
        <v>4.08</v>
      </c>
      <c r="J52" s="377"/>
      <c r="K52" s="377">
        <f t="shared" ref="K52:K111" si="15">L52-L52*$J$3</f>
        <v>5.4399999999999995</v>
      </c>
      <c r="L52" s="310">
        <f t="shared" ref="L52:L111" si="16">IF(M52&gt;0,M52,ROUND(B52+(B52*C52),1))</f>
        <v>6.8</v>
      </c>
    </row>
    <row r="53" spans="1:12">
      <c r="A53" s="35" t="s">
        <v>455</v>
      </c>
      <c r="B53" s="384">
        <v>5</v>
      </c>
      <c r="C53" s="297">
        <v>0.75</v>
      </c>
      <c r="D53" s="317" t="s">
        <v>140</v>
      </c>
      <c r="E53" s="318">
        <f t="shared" ref="E53:F53" si="17">K53</f>
        <v>7.0400000000000009</v>
      </c>
      <c r="F53" s="319">
        <f t="shared" si="17"/>
        <v>8.8000000000000007</v>
      </c>
      <c r="G53" s="255" t="str">
        <f>VLOOKUP(A53,'mat order'!$A$15:$E$132,2,)</f>
        <v>The Way to Life (PDF)</v>
      </c>
      <c r="H53" s="379"/>
      <c r="I53" s="377">
        <f t="shared" si="14"/>
        <v>5.28</v>
      </c>
      <c r="J53" s="377"/>
      <c r="K53" s="377">
        <f t="shared" si="15"/>
        <v>7.0400000000000009</v>
      </c>
      <c r="L53" s="310">
        <f t="shared" si="16"/>
        <v>8.8000000000000007</v>
      </c>
    </row>
    <row r="54" spans="1:12">
      <c r="A54" s="35" t="s">
        <v>487</v>
      </c>
      <c r="B54" s="384">
        <v>5</v>
      </c>
      <c r="C54" s="297">
        <v>0.75</v>
      </c>
      <c r="D54" s="317" t="s">
        <v>140</v>
      </c>
      <c r="E54" s="317" t="s">
        <v>140</v>
      </c>
      <c r="F54" s="317" t="s">
        <v>140</v>
      </c>
      <c r="G54" s="255" t="str">
        <f>VLOOKUP(A54,'mat order'!$A$15:$E$132,2,)</f>
        <v>Jesus Christ - bible study in simple English (PDF)</v>
      </c>
      <c r="H54" s="379"/>
      <c r="I54" s="377">
        <f t="shared" si="14"/>
        <v>5.28</v>
      </c>
      <c r="J54" s="377"/>
      <c r="K54" s="377">
        <f t="shared" si="15"/>
        <v>7.0400000000000009</v>
      </c>
      <c r="L54" s="310">
        <f t="shared" si="16"/>
        <v>8.8000000000000007</v>
      </c>
    </row>
    <row r="55" spans="1:12">
      <c r="A55" s="35" t="s">
        <v>88</v>
      </c>
      <c r="B55" s="384">
        <v>2.5350000000000001</v>
      </c>
      <c r="C55" s="297">
        <v>0.75</v>
      </c>
      <c r="D55" s="317">
        <f>I55</f>
        <v>2.64</v>
      </c>
      <c r="E55" s="318">
        <f t="shared" ref="E55:E76" si="18">K55</f>
        <v>3.5200000000000005</v>
      </c>
      <c r="F55" s="319">
        <f t="shared" ref="F55:F76" si="19">L55</f>
        <v>4.4000000000000004</v>
      </c>
      <c r="G55" s="255" t="e">
        <f>VLOOKUP(A55,'mat order'!$A$15:$E$132,2,)</f>
        <v>#N/A</v>
      </c>
      <c r="H55" s="379"/>
      <c r="I55" s="377">
        <f t="shared" si="14"/>
        <v>2.64</v>
      </c>
      <c r="J55" s="377"/>
      <c r="K55" s="377">
        <f t="shared" si="15"/>
        <v>3.5200000000000005</v>
      </c>
      <c r="L55" s="310">
        <f t="shared" si="16"/>
        <v>4.4000000000000004</v>
      </c>
    </row>
    <row r="56" spans="1:12">
      <c r="A56" s="35" t="s">
        <v>458</v>
      </c>
      <c r="B56" s="384">
        <v>1.27</v>
      </c>
      <c r="C56" s="297">
        <v>0.75</v>
      </c>
      <c r="D56" s="317" t="s">
        <v>140</v>
      </c>
      <c r="E56" s="318">
        <f t="shared" si="18"/>
        <v>1.7600000000000002</v>
      </c>
      <c r="F56" s="319">
        <f t="shared" si="19"/>
        <v>2.2000000000000002</v>
      </c>
      <c r="G56" s="255" t="str">
        <f>VLOOKUP(A56,'mat order'!$A$15:$E$132,2,)</f>
        <v>Becoming a Friend With an International Student (PDF)</v>
      </c>
      <c r="H56" s="379"/>
      <c r="I56" s="377">
        <f t="shared" si="14"/>
        <v>1.32</v>
      </c>
      <c r="J56" s="377"/>
      <c r="K56" s="377">
        <f t="shared" si="15"/>
        <v>1.7600000000000002</v>
      </c>
      <c r="L56" s="310">
        <f t="shared" si="16"/>
        <v>2.2000000000000002</v>
      </c>
    </row>
    <row r="57" spans="1:12">
      <c r="A57" s="35" t="s">
        <v>89</v>
      </c>
      <c r="B57" s="384">
        <v>2.5350000000000001</v>
      </c>
      <c r="C57" s="297">
        <v>0.75</v>
      </c>
      <c r="D57" s="317">
        <f>I57</f>
        <v>2.64</v>
      </c>
      <c r="E57" s="318">
        <f t="shared" si="18"/>
        <v>3.5200000000000005</v>
      </c>
      <c r="F57" s="319">
        <f t="shared" si="19"/>
        <v>4.4000000000000004</v>
      </c>
      <c r="G57" s="255" t="e">
        <f>VLOOKUP(A57,'mat order'!$A$15:$E$132,2,)</f>
        <v>#N/A</v>
      </c>
      <c r="H57" s="379"/>
      <c r="I57" s="377">
        <f t="shared" si="14"/>
        <v>2.64</v>
      </c>
      <c r="J57" s="377"/>
      <c r="K57" s="377">
        <f t="shared" si="15"/>
        <v>3.5200000000000005</v>
      </c>
      <c r="L57" s="310">
        <f t="shared" si="16"/>
        <v>4.4000000000000004</v>
      </c>
    </row>
    <row r="58" spans="1:12">
      <c r="A58" s="35" t="s">
        <v>459</v>
      </c>
      <c r="B58" s="384">
        <v>1.27</v>
      </c>
      <c r="C58" s="297">
        <v>0.75</v>
      </c>
      <c r="D58" s="317" t="s">
        <v>140</v>
      </c>
      <c r="E58" s="318">
        <f t="shared" si="18"/>
        <v>1.7600000000000002</v>
      </c>
      <c r="F58" s="319">
        <f t="shared" si="19"/>
        <v>2.2000000000000002</v>
      </c>
      <c r="G58" s="255" t="str">
        <f>VLOOKUP(A58,'mat order'!$A$15:$E$132,2,)</f>
        <v>How to Share The Good News With Your African Friend (PDF)</v>
      </c>
      <c r="H58" s="379"/>
      <c r="I58" s="377">
        <f t="shared" si="14"/>
        <v>1.32</v>
      </c>
      <c r="J58" s="377"/>
      <c r="K58" s="377">
        <f t="shared" si="15"/>
        <v>1.7600000000000002</v>
      </c>
      <c r="L58" s="310">
        <f t="shared" si="16"/>
        <v>2.2000000000000002</v>
      </c>
    </row>
    <row r="59" spans="1:12">
      <c r="A59" s="35" t="s">
        <v>90</v>
      </c>
      <c r="B59" s="384">
        <v>2.5350000000000001</v>
      </c>
      <c r="C59" s="297">
        <v>0.75</v>
      </c>
      <c r="D59" s="317">
        <f>I59</f>
        <v>2.64</v>
      </c>
      <c r="E59" s="318">
        <f t="shared" si="18"/>
        <v>3.5200000000000005</v>
      </c>
      <c r="F59" s="319">
        <f t="shared" si="19"/>
        <v>4.4000000000000004</v>
      </c>
      <c r="G59" s="255" t="e">
        <f>VLOOKUP(A59,'mat order'!$A$15:$E$132,2,)</f>
        <v>#N/A</v>
      </c>
      <c r="H59" s="379"/>
      <c r="I59" s="377">
        <f t="shared" si="14"/>
        <v>2.64</v>
      </c>
      <c r="J59" s="377"/>
      <c r="K59" s="377">
        <f t="shared" si="15"/>
        <v>3.5200000000000005</v>
      </c>
      <c r="L59" s="310">
        <f t="shared" si="16"/>
        <v>4.4000000000000004</v>
      </c>
    </row>
    <row r="60" spans="1:12">
      <c r="A60" s="35" t="s">
        <v>460</v>
      </c>
      <c r="B60" s="384">
        <v>1.27</v>
      </c>
      <c r="C60" s="297">
        <v>0.75</v>
      </c>
      <c r="D60" s="317" t="s">
        <v>140</v>
      </c>
      <c r="E60" s="318">
        <f t="shared" si="18"/>
        <v>1.7600000000000002</v>
      </c>
      <c r="F60" s="319">
        <f t="shared" si="19"/>
        <v>2.2000000000000002</v>
      </c>
      <c r="G60" s="255" t="str">
        <f>VLOOKUP(A60,'mat order'!$A$15:$E$132,2,)</f>
        <v>How to Share the Good News With Your International Friend (PDF)</v>
      </c>
      <c r="H60" s="379"/>
      <c r="I60" s="377">
        <f t="shared" si="14"/>
        <v>1.32</v>
      </c>
      <c r="J60" s="377"/>
      <c r="K60" s="377">
        <f t="shared" si="15"/>
        <v>1.7600000000000002</v>
      </c>
      <c r="L60" s="310">
        <f t="shared" si="16"/>
        <v>2.2000000000000002</v>
      </c>
    </row>
    <row r="61" spans="1:12">
      <c r="A61" s="35" t="s">
        <v>91</v>
      </c>
      <c r="B61" s="384">
        <v>2.5350000000000001</v>
      </c>
      <c r="C61" s="297">
        <v>0.75</v>
      </c>
      <c r="D61" s="317">
        <f>I61</f>
        <v>2.64</v>
      </c>
      <c r="E61" s="318">
        <f t="shared" si="18"/>
        <v>3.5200000000000005</v>
      </c>
      <c r="F61" s="319">
        <f t="shared" si="19"/>
        <v>4.4000000000000004</v>
      </c>
      <c r="G61" s="255" t="e">
        <f>VLOOKUP(A61,'mat order'!$A$15:$E$132,2,)</f>
        <v>#N/A</v>
      </c>
      <c r="H61" s="379"/>
      <c r="I61" s="377">
        <f t="shared" si="14"/>
        <v>2.64</v>
      </c>
      <c r="J61" s="377"/>
      <c r="K61" s="377">
        <f t="shared" si="15"/>
        <v>3.5200000000000005</v>
      </c>
      <c r="L61" s="310">
        <f t="shared" si="16"/>
        <v>4.4000000000000004</v>
      </c>
    </row>
    <row r="62" spans="1:12">
      <c r="A62" s="35" t="s">
        <v>461</v>
      </c>
      <c r="B62" s="384">
        <v>1.27</v>
      </c>
      <c r="C62" s="297">
        <v>0.75</v>
      </c>
      <c r="D62" s="317" t="s">
        <v>140</v>
      </c>
      <c r="E62" s="318">
        <f t="shared" si="18"/>
        <v>1.7600000000000002</v>
      </c>
      <c r="F62" s="319">
        <f t="shared" si="19"/>
        <v>2.2000000000000002</v>
      </c>
      <c r="G62" s="255" t="str">
        <f>VLOOKUP(A62,'mat order'!$A$15:$E$132,2,)</f>
        <v>How to Share the Good News With Your Japanese Friend (PDF)</v>
      </c>
      <c r="H62" s="379"/>
      <c r="I62" s="377">
        <f t="shared" si="14"/>
        <v>1.32</v>
      </c>
      <c r="J62" s="377"/>
      <c r="K62" s="377">
        <f t="shared" si="15"/>
        <v>1.7600000000000002</v>
      </c>
      <c r="L62" s="310">
        <f t="shared" si="16"/>
        <v>2.2000000000000002</v>
      </c>
    </row>
    <row r="63" spans="1:12">
      <c r="A63" s="35" t="s">
        <v>92</v>
      </c>
      <c r="B63" s="384">
        <v>2.5350000000000001</v>
      </c>
      <c r="C63" s="297">
        <v>0.75</v>
      </c>
      <c r="D63" s="317">
        <f>I63</f>
        <v>2.64</v>
      </c>
      <c r="E63" s="318">
        <f t="shared" si="18"/>
        <v>3.5200000000000005</v>
      </c>
      <c r="F63" s="319">
        <f t="shared" si="19"/>
        <v>4.4000000000000004</v>
      </c>
      <c r="G63" s="255" t="e">
        <f>VLOOKUP(A63,'mat order'!$A$15:$E$132,2,)</f>
        <v>#N/A</v>
      </c>
      <c r="H63" s="379"/>
      <c r="I63" s="377">
        <f t="shared" si="14"/>
        <v>2.64</v>
      </c>
      <c r="J63" s="377"/>
      <c r="K63" s="377">
        <f t="shared" si="15"/>
        <v>3.5200000000000005</v>
      </c>
      <c r="L63" s="310">
        <f t="shared" si="16"/>
        <v>4.4000000000000004</v>
      </c>
    </row>
    <row r="64" spans="1:12">
      <c r="A64" s="35" t="s">
        <v>462</v>
      </c>
      <c r="B64" s="384">
        <v>1.27</v>
      </c>
      <c r="C64" s="297">
        <v>0.75</v>
      </c>
      <c r="D64" s="317" t="s">
        <v>140</v>
      </c>
      <c r="E64" s="318">
        <f t="shared" si="18"/>
        <v>1.7600000000000002</v>
      </c>
      <c r="F64" s="319">
        <f t="shared" si="19"/>
        <v>2.2000000000000002</v>
      </c>
      <c r="G64" s="255" t="str">
        <f>VLOOKUP(A64,'mat order'!$A$15:$E$132,2,)</f>
        <v>How to Share the Good New With Your Muslim Friend (PDF)</v>
      </c>
      <c r="H64" s="379"/>
      <c r="I64" s="377">
        <f t="shared" si="14"/>
        <v>1.32</v>
      </c>
      <c r="J64" s="377"/>
      <c r="K64" s="377">
        <f t="shared" si="15"/>
        <v>1.7600000000000002</v>
      </c>
      <c r="L64" s="310">
        <f t="shared" si="16"/>
        <v>2.2000000000000002</v>
      </c>
    </row>
    <row r="65" spans="1:12">
      <c r="A65" s="35" t="s">
        <v>93</v>
      </c>
      <c r="B65" s="384">
        <v>2.5350000000000001</v>
      </c>
      <c r="C65" s="297">
        <v>0.75</v>
      </c>
      <c r="D65" s="317">
        <f>I65</f>
        <v>2.64</v>
      </c>
      <c r="E65" s="318">
        <f t="shared" si="18"/>
        <v>3.5200000000000005</v>
      </c>
      <c r="F65" s="319">
        <f t="shared" si="19"/>
        <v>4.4000000000000004</v>
      </c>
      <c r="G65" s="255" t="e">
        <f>VLOOKUP(A65,'mat order'!$A$15:$E$132,2,)</f>
        <v>#N/A</v>
      </c>
      <c r="H65" s="379"/>
      <c r="I65" s="377">
        <f t="shared" si="14"/>
        <v>2.64</v>
      </c>
      <c r="J65" s="377"/>
      <c r="K65" s="377">
        <f t="shared" si="15"/>
        <v>3.5200000000000005</v>
      </c>
      <c r="L65" s="310">
        <f t="shared" si="16"/>
        <v>4.4000000000000004</v>
      </c>
    </row>
    <row r="66" spans="1:12">
      <c r="A66" s="35" t="s">
        <v>463</v>
      </c>
      <c r="B66" s="384">
        <v>1.27</v>
      </c>
      <c r="C66" s="297">
        <v>0.75</v>
      </c>
      <c r="D66" s="317" t="s">
        <v>140</v>
      </c>
      <c r="E66" s="318">
        <f t="shared" si="18"/>
        <v>1.7600000000000002</v>
      </c>
      <c r="F66" s="319">
        <f t="shared" si="19"/>
        <v>2.2000000000000002</v>
      </c>
      <c r="G66" s="255" t="str">
        <f>VLOOKUP(A66,'mat order'!$A$15:$E$132,2,)</f>
        <v>How to Study the Bible With Your International Friend (PDF)</v>
      </c>
      <c r="H66" s="379"/>
      <c r="I66" s="377">
        <f t="shared" si="14"/>
        <v>1.32</v>
      </c>
      <c r="J66" s="377"/>
      <c r="K66" s="377">
        <f t="shared" si="15"/>
        <v>1.7600000000000002</v>
      </c>
      <c r="L66" s="310">
        <f t="shared" si="16"/>
        <v>2.2000000000000002</v>
      </c>
    </row>
    <row r="67" spans="1:12">
      <c r="A67" s="35" t="s">
        <v>94</v>
      </c>
      <c r="B67" s="384">
        <v>2.5350000000000001</v>
      </c>
      <c r="C67" s="297">
        <v>0.75</v>
      </c>
      <c r="D67" s="317">
        <f>I67</f>
        <v>2.64</v>
      </c>
      <c r="E67" s="318">
        <f t="shared" si="18"/>
        <v>3.5200000000000005</v>
      </c>
      <c r="F67" s="319">
        <f t="shared" si="19"/>
        <v>4.4000000000000004</v>
      </c>
      <c r="G67" s="255" t="e">
        <f>VLOOKUP(A67,'mat order'!$A$15:$E$132,2,)</f>
        <v>#N/A</v>
      </c>
      <c r="H67" s="379"/>
      <c r="I67" s="377">
        <f t="shared" si="14"/>
        <v>2.64</v>
      </c>
      <c r="J67" s="377"/>
      <c r="K67" s="377">
        <f t="shared" si="15"/>
        <v>3.5200000000000005</v>
      </c>
      <c r="L67" s="310">
        <f t="shared" si="16"/>
        <v>4.4000000000000004</v>
      </c>
    </row>
    <row r="68" spans="1:12">
      <c r="A68" s="35" t="s">
        <v>464</v>
      </c>
      <c r="B68" s="384">
        <v>1.27</v>
      </c>
      <c r="C68" s="297">
        <v>0.75</v>
      </c>
      <c r="D68" s="317" t="s">
        <v>140</v>
      </c>
      <c r="E68" s="318">
        <f t="shared" si="18"/>
        <v>1.7600000000000002</v>
      </c>
      <c r="F68" s="319">
        <f t="shared" si="19"/>
        <v>2.2000000000000002</v>
      </c>
      <c r="G68" s="255" t="str">
        <f>VLOOKUP(A68,'mat order'!$A$15:$E$132,2,)</f>
        <v>Reaching Students From the People's Republic of China (PDF)</v>
      </c>
      <c r="H68" s="379"/>
      <c r="I68" s="377">
        <f t="shared" si="14"/>
        <v>1.32</v>
      </c>
      <c r="J68" s="377"/>
      <c r="K68" s="377">
        <f t="shared" si="15"/>
        <v>1.7600000000000002</v>
      </c>
      <c r="L68" s="310">
        <f t="shared" si="16"/>
        <v>2.2000000000000002</v>
      </c>
    </row>
    <row r="69" spans="1:12">
      <c r="A69" s="35" t="s">
        <v>95</v>
      </c>
      <c r="B69" s="384">
        <v>2.5350000000000001</v>
      </c>
      <c r="C69" s="297">
        <v>0.75</v>
      </c>
      <c r="D69" s="317">
        <f>I69</f>
        <v>2.64</v>
      </c>
      <c r="E69" s="318">
        <f t="shared" si="18"/>
        <v>3.5200000000000005</v>
      </c>
      <c r="F69" s="319">
        <f t="shared" si="19"/>
        <v>4.4000000000000004</v>
      </c>
      <c r="G69" s="255" t="e">
        <f>VLOOKUP(A69,'mat order'!$A$15:$E$132,2,)</f>
        <v>#N/A</v>
      </c>
      <c r="H69" s="379"/>
      <c r="I69" s="377">
        <f t="shared" si="14"/>
        <v>2.64</v>
      </c>
      <c r="J69" s="377"/>
      <c r="K69" s="377">
        <f t="shared" si="15"/>
        <v>3.5200000000000005</v>
      </c>
      <c r="L69" s="310">
        <f t="shared" si="16"/>
        <v>4.4000000000000004</v>
      </c>
    </row>
    <row r="70" spans="1:12">
      <c r="A70" s="35" t="s">
        <v>465</v>
      </c>
      <c r="B70" s="384">
        <v>1.27</v>
      </c>
      <c r="C70" s="297">
        <v>0.75</v>
      </c>
      <c r="D70" s="317" t="s">
        <v>140</v>
      </c>
      <c r="E70" s="318">
        <f t="shared" si="18"/>
        <v>1.7600000000000002</v>
      </c>
      <c r="F70" s="319">
        <f t="shared" si="19"/>
        <v>2.2000000000000002</v>
      </c>
      <c r="G70" s="255" t="str">
        <f>VLOOKUP(A70,'mat order'!$A$15:$E$132,2,)</f>
        <v>Preparing Your International Friend for Life Back Home (PDF)</v>
      </c>
      <c r="H70" s="379"/>
      <c r="I70" s="377">
        <f t="shared" si="14"/>
        <v>1.32</v>
      </c>
      <c r="J70" s="377"/>
      <c r="K70" s="377">
        <f t="shared" si="15"/>
        <v>1.7600000000000002</v>
      </c>
      <c r="L70" s="310">
        <f t="shared" si="16"/>
        <v>2.2000000000000002</v>
      </c>
    </row>
    <row r="71" spans="1:12">
      <c r="A71" s="244" t="s">
        <v>550</v>
      </c>
      <c r="B71" s="384">
        <v>2.5350000000000001</v>
      </c>
      <c r="C71" s="297">
        <v>0.75</v>
      </c>
      <c r="D71" s="317">
        <f t="shared" ref="D71:D76" si="20">I71</f>
        <v>2.64</v>
      </c>
      <c r="E71" s="318">
        <f t="shared" si="18"/>
        <v>3.5200000000000005</v>
      </c>
      <c r="F71" s="319">
        <f t="shared" si="19"/>
        <v>4.4000000000000004</v>
      </c>
      <c r="G71" s="255" t="str">
        <f>VLOOKUP(A71,'mat order'!$A$15:$E$132,2,)</f>
        <v>Reaching Hindu International Students</v>
      </c>
      <c r="H71" s="379"/>
      <c r="I71" s="377">
        <f t="shared" si="14"/>
        <v>2.64</v>
      </c>
      <c r="J71" s="377"/>
      <c r="K71" s="377">
        <f t="shared" si="15"/>
        <v>3.5200000000000005</v>
      </c>
      <c r="L71" s="310">
        <f t="shared" si="16"/>
        <v>4.4000000000000004</v>
      </c>
    </row>
    <row r="72" spans="1:12">
      <c r="A72" s="244" t="s">
        <v>589</v>
      </c>
      <c r="B72" s="384">
        <v>2.5350000000000001</v>
      </c>
      <c r="C72" s="297">
        <v>0.75</v>
      </c>
      <c r="D72" s="317">
        <f t="shared" si="20"/>
        <v>2.64</v>
      </c>
      <c r="E72" s="318">
        <f t="shared" si="18"/>
        <v>3.5200000000000005</v>
      </c>
      <c r="F72" s="319">
        <f t="shared" si="19"/>
        <v>4.4000000000000004</v>
      </c>
      <c r="G72" s="255" t="str">
        <f>VLOOKUP(A72,'mat order'!$A$15:$E$132,2,)</f>
        <v>Reaching Muslim International Students</v>
      </c>
      <c r="H72" s="379"/>
      <c r="I72" s="377">
        <f t="shared" si="14"/>
        <v>2.64</v>
      </c>
      <c r="J72" s="377"/>
      <c r="K72" s="377">
        <f t="shared" si="15"/>
        <v>3.5200000000000005</v>
      </c>
      <c r="L72" s="310">
        <f t="shared" si="16"/>
        <v>4.4000000000000004</v>
      </c>
    </row>
    <row r="73" spans="1:12">
      <c r="A73" s="244" t="s">
        <v>621</v>
      </c>
      <c r="B73" s="384">
        <v>2.5350000000000001</v>
      </c>
      <c r="C73" s="297">
        <v>0.75</v>
      </c>
      <c r="D73" s="317">
        <f t="shared" si="20"/>
        <v>2.64</v>
      </c>
      <c r="E73" s="318">
        <f t="shared" ref="E73:F75" si="21">K73</f>
        <v>3.5200000000000005</v>
      </c>
      <c r="F73" s="319">
        <f t="shared" si="21"/>
        <v>4.4000000000000004</v>
      </c>
      <c r="G73" s="255" t="s">
        <v>623</v>
      </c>
      <c r="H73" s="379"/>
      <c r="I73" s="377">
        <f>L73-L73*$H$3</f>
        <v>2.64</v>
      </c>
      <c r="J73" s="377"/>
      <c r="K73" s="377">
        <f>L73-L73*$J$3</f>
        <v>3.5200000000000005</v>
      </c>
      <c r="L73" s="310">
        <f>IF(M73&gt;0,M73,ROUND(B73+(B73*C73),1))</f>
        <v>4.4000000000000004</v>
      </c>
    </row>
    <row r="74" spans="1:12">
      <c r="A74" s="244" t="s">
        <v>622</v>
      </c>
      <c r="B74" s="384">
        <v>4</v>
      </c>
      <c r="C74" s="297">
        <v>0.75</v>
      </c>
      <c r="D74" s="317">
        <f t="shared" si="20"/>
        <v>4.1999999999999993</v>
      </c>
      <c r="E74" s="318">
        <f t="shared" si="21"/>
        <v>5.6</v>
      </c>
      <c r="F74" s="319">
        <f t="shared" si="21"/>
        <v>7</v>
      </c>
      <c r="G74" s="255" t="s">
        <v>624</v>
      </c>
      <c r="H74" s="379"/>
      <c r="I74" s="377">
        <f>L74-L74*$H$3</f>
        <v>4.1999999999999993</v>
      </c>
      <c r="J74" s="377"/>
      <c r="K74" s="377">
        <f>L74-L74*$J$3</f>
        <v>5.6</v>
      </c>
      <c r="L74" s="310">
        <f>IF(M74&gt;0,M74,ROUND(B74+(B74*C74),1))</f>
        <v>7</v>
      </c>
    </row>
    <row r="75" spans="1:12">
      <c r="A75" s="244" t="s">
        <v>647</v>
      </c>
      <c r="B75" s="384">
        <v>4</v>
      </c>
      <c r="C75" s="297">
        <v>0.75</v>
      </c>
      <c r="D75" s="317">
        <f t="shared" si="20"/>
        <v>4.1999999999999993</v>
      </c>
      <c r="E75" s="318">
        <f t="shared" si="21"/>
        <v>5.6</v>
      </c>
      <c r="F75" s="319">
        <f t="shared" si="21"/>
        <v>7</v>
      </c>
      <c r="G75" s="255" t="s">
        <v>648</v>
      </c>
      <c r="H75" s="379"/>
      <c r="I75" s="377">
        <f>L75-L75*$H$3</f>
        <v>4.1999999999999993</v>
      </c>
      <c r="J75" s="377"/>
      <c r="K75" s="377">
        <f>L75-L75*$J$3</f>
        <v>5.6</v>
      </c>
      <c r="L75" s="310">
        <f>IF(M75&gt;0,M75,ROUND(B75+(B75*C75),1))</f>
        <v>7</v>
      </c>
    </row>
    <row r="76" spans="1:12">
      <c r="A76" s="35" t="s">
        <v>107</v>
      </c>
      <c r="B76" s="384">
        <v>5.17</v>
      </c>
      <c r="C76" s="297">
        <v>0.75</v>
      </c>
      <c r="D76" s="317">
        <f t="shared" si="20"/>
        <v>5.4</v>
      </c>
      <c r="E76" s="318">
        <f t="shared" si="18"/>
        <v>7.2</v>
      </c>
      <c r="F76" s="319">
        <f t="shared" si="19"/>
        <v>9</v>
      </c>
      <c r="G76" s="255" t="str">
        <f>VLOOKUP(A76,'mat order'!$A$15:$E$132,2,)</f>
        <v>An American Friend Handbook</v>
      </c>
      <c r="H76" s="379"/>
      <c r="I76" s="377">
        <f t="shared" si="14"/>
        <v>5.4</v>
      </c>
      <c r="J76" s="377"/>
      <c r="K76" s="377">
        <f t="shared" si="15"/>
        <v>7.2</v>
      </c>
      <c r="L76" s="310">
        <f t="shared" si="16"/>
        <v>9</v>
      </c>
    </row>
    <row r="77" spans="1:12">
      <c r="A77" s="244" t="s">
        <v>518</v>
      </c>
      <c r="B77" s="384">
        <v>1.27</v>
      </c>
      <c r="C77" s="297">
        <v>0.75</v>
      </c>
      <c r="D77" s="317" t="s">
        <v>140</v>
      </c>
      <c r="E77" s="318">
        <f t="shared" ref="E77:E89" si="22">K77</f>
        <v>1.7600000000000002</v>
      </c>
      <c r="F77" s="319">
        <f t="shared" ref="F77:F89" si="23">L77</f>
        <v>2.2000000000000002</v>
      </c>
      <c r="G77" s="255" t="str">
        <f>VLOOKUP(A77,'mat order'!$A$15:$E$132,2,)</f>
        <v>An American Friend Handbook (PDF)</v>
      </c>
      <c r="H77" s="379"/>
      <c r="I77" s="377">
        <f t="shared" si="14"/>
        <v>1.32</v>
      </c>
      <c r="J77" s="377"/>
      <c r="K77" s="377">
        <f t="shared" si="15"/>
        <v>1.7600000000000002</v>
      </c>
      <c r="L77" s="310">
        <f t="shared" si="16"/>
        <v>2.2000000000000002</v>
      </c>
    </row>
    <row r="78" spans="1:12">
      <c r="A78" s="35" t="s">
        <v>108</v>
      </c>
      <c r="B78" s="384">
        <v>8</v>
      </c>
      <c r="C78" s="297">
        <v>0.75</v>
      </c>
      <c r="D78" s="317">
        <f>I78</f>
        <v>8.3999999999999986</v>
      </c>
      <c r="E78" s="318">
        <f t="shared" si="22"/>
        <v>11.2</v>
      </c>
      <c r="F78" s="319">
        <f t="shared" si="23"/>
        <v>14</v>
      </c>
      <c r="G78" s="255" t="str">
        <f>VLOOKUP(A78,'mat order'!$A$15:$E$132,2,)</f>
        <v>Compact Guide to World Religions</v>
      </c>
      <c r="H78" s="379"/>
      <c r="I78" s="377">
        <f t="shared" si="14"/>
        <v>8.3999999999999986</v>
      </c>
      <c r="J78" s="377"/>
      <c r="K78" s="377">
        <f t="shared" si="15"/>
        <v>11.2</v>
      </c>
      <c r="L78" s="310">
        <f t="shared" si="16"/>
        <v>14</v>
      </c>
    </row>
    <row r="79" spans="1:12">
      <c r="A79" s="35" t="s">
        <v>109</v>
      </c>
      <c r="B79" s="384">
        <v>8.67</v>
      </c>
      <c r="C79" s="297">
        <v>0.75</v>
      </c>
      <c r="D79" s="317">
        <f>I79</f>
        <v>9.1199999999999992</v>
      </c>
      <c r="E79" s="318">
        <f t="shared" si="22"/>
        <v>12.16</v>
      </c>
      <c r="F79" s="319">
        <f t="shared" si="23"/>
        <v>15.2</v>
      </c>
      <c r="G79" s="255" t="str">
        <f>VLOOKUP(A79,'mat order'!$A$15:$E$132,2,)</f>
        <v>Getting Started with ISI  Volunteer Kit 1</v>
      </c>
      <c r="H79" s="379"/>
      <c r="I79" s="377">
        <f t="shared" si="14"/>
        <v>9.1199999999999992</v>
      </c>
      <c r="J79" s="377"/>
      <c r="K79" s="377">
        <f t="shared" si="15"/>
        <v>12.16</v>
      </c>
      <c r="L79" s="310">
        <f t="shared" si="16"/>
        <v>15.2</v>
      </c>
    </row>
    <row r="80" spans="1:12">
      <c r="A80" s="35" t="s">
        <v>110</v>
      </c>
      <c r="B80" s="384">
        <v>2.5350000000000001</v>
      </c>
      <c r="C80" s="297">
        <v>0.75</v>
      </c>
      <c r="D80" s="317">
        <f>I80</f>
        <v>2.64</v>
      </c>
      <c r="E80" s="318">
        <f t="shared" si="22"/>
        <v>3.5200000000000005</v>
      </c>
      <c r="F80" s="319">
        <f t="shared" si="23"/>
        <v>4.4000000000000004</v>
      </c>
      <c r="G80" s="255" t="e">
        <f>VLOOKUP(A80,'mat order'!$A$15:$E$132,2,)</f>
        <v>#N/A</v>
      </c>
      <c r="H80" s="379"/>
      <c r="I80" s="377">
        <f t="shared" si="14"/>
        <v>2.64</v>
      </c>
      <c r="J80" s="377"/>
      <c r="K80" s="377">
        <f t="shared" si="15"/>
        <v>3.5200000000000005</v>
      </c>
      <c r="L80" s="310">
        <f t="shared" si="16"/>
        <v>4.4000000000000004</v>
      </c>
    </row>
    <row r="81" spans="1:16">
      <c r="A81" s="244" t="s">
        <v>520</v>
      </c>
      <c r="B81" s="386">
        <v>8</v>
      </c>
      <c r="C81" s="297">
        <v>0.75</v>
      </c>
      <c r="D81" s="317" t="s">
        <v>140</v>
      </c>
      <c r="E81" s="318">
        <f t="shared" si="22"/>
        <v>11.2</v>
      </c>
      <c r="F81" s="319">
        <f t="shared" si="23"/>
        <v>14</v>
      </c>
      <c r="G81" s="255" t="str">
        <f>VLOOKUP(A81,'mat order'!$A$15:$E$132,2,)</f>
        <v>New Horizons, Adjusting to Life Back Home</v>
      </c>
      <c r="H81" s="379"/>
      <c r="I81" s="377">
        <f t="shared" si="14"/>
        <v>8.3999999999999986</v>
      </c>
      <c r="J81" s="377"/>
      <c r="K81" s="377">
        <f t="shared" si="15"/>
        <v>11.2</v>
      </c>
      <c r="L81" s="310">
        <f t="shared" si="16"/>
        <v>14</v>
      </c>
    </row>
    <row r="82" spans="1:16">
      <c r="A82" s="244" t="s">
        <v>562</v>
      </c>
      <c r="B82" s="384">
        <v>2.67</v>
      </c>
      <c r="C82" s="297">
        <v>0.75</v>
      </c>
      <c r="D82" s="317" t="s">
        <v>140</v>
      </c>
      <c r="E82" s="318">
        <f t="shared" si="22"/>
        <v>3.7600000000000002</v>
      </c>
      <c r="F82" s="319">
        <f t="shared" si="23"/>
        <v>4.7</v>
      </c>
      <c r="G82" s="255" t="str">
        <f>VLOOKUP(A82,'mat order'!$A$15:$E$132,2,)</f>
        <v>New Horizons, Adjusting to Life Back Home (PDF)</v>
      </c>
      <c r="H82" s="379"/>
      <c r="I82" s="377">
        <f t="shared" si="14"/>
        <v>2.8200000000000003</v>
      </c>
      <c r="J82" s="377"/>
      <c r="K82" s="377">
        <f t="shared" si="15"/>
        <v>3.7600000000000002</v>
      </c>
      <c r="L82" s="310">
        <f t="shared" si="16"/>
        <v>4.7</v>
      </c>
    </row>
    <row r="83" spans="1:16">
      <c r="A83" s="35" t="s">
        <v>111</v>
      </c>
      <c r="B83" s="384">
        <v>3.335</v>
      </c>
      <c r="C83" s="297">
        <v>0.75</v>
      </c>
      <c r="D83" s="317">
        <f>I83</f>
        <v>3.48</v>
      </c>
      <c r="E83" s="318">
        <f t="shared" si="22"/>
        <v>4.6399999999999997</v>
      </c>
      <c r="F83" s="319">
        <f t="shared" si="23"/>
        <v>5.8</v>
      </c>
      <c r="G83" s="255" t="str">
        <f>VLOOKUP(A83,'mat order'!$A$15:$E$132,2,)</f>
        <v>How to Survive in the US</v>
      </c>
      <c r="H83" s="379"/>
      <c r="I83" s="377">
        <f t="shared" si="14"/>
        <v>3.48</v>
      </c>
      <c r="J83" s="377"/>
      <c r="K83" s="377">
        <f t="shared" si="15"/>
        <v>4.6399999999999997</v>
      </c>
      <c r="L83" s="310">
        <f t="shared" si="16"/>
        <v>5.8</v>
      </c>
    </row>
    <row r="84" spans="1:16">
      <c r="A84" s="244" t="s">
        <v>549</v>
      </c>
      <c r="B84" s="384">
        <v>2</v>
      </c>
      <c r="C84" s="297">
        <v>0.75</v>
      </c>
      <c r="D84" s="317" t="s">
        <v>140</v>
      </c>
      <c r="E84" s="318">
        <f t="shared" si="22"/>
        <v>2.8</v>
      </c>
      <c r="F84" s="319">
        <f t="shared" si="23"/>
        <v>3.5</v>
      </c>
      <c r="G84" s="255" t="str">
        <f>VLOOKUP(A84,'mat order'!$A$15:$E$132,2,)</f>
        <v>How to Survive in the US (PDF)</v>
      </c>
      <c r="H84" s="379"/>
      <c r="I84" s="377">
        <f t="shared" si="14"/>
        <v>2.0999999999999996</v>
      </c>
      <c r="J84" s="377"/>
      <c r="K84" s="377">
        <f t="shared" si="15"/>
        <v>2.8</v>
      </c>
      <c r="L84" s="310">
        <f t="shared" si="16"/>
        <v>3.5</v>
      </c>
    </row>
    <row r="85" spans="1:16">
      <c r="A85" s="35" t="s">
        <v>112</v>
      </c>
      <c r="B85" s="384">
        <v>2.5</v>
      </c>
      <c r="C85" s="297">
        <v>0.75</v>
      </c>
      <c r="D85" s="317">
        <f>I85</f>
        <v>2.64</v>
      </c>
      <c r="E85" s="318">
        <f t="shared" si="22"/>
        <v>3.5200000000000005</v>
      </c>
      <c r="F85" s="319">
        <f t="shared" si="23"/>
        <v>4.4000000000000004</v>
      </c>
      <c r="G85" s="255" t="str">
        <f>VLOOKUP(A85,'mat order'!$A$15:$E$132,2,)</f>
        <v>Knowing God Personally per set of 20</v>
      </c>
      <c r="H85" s="379"/>
      <c r="I85" s="377">
        <f t="shared" si="14"/>
        <v>2.64</v>
      </c>
      <c r="J85" s="377"/>
      <c r="K85" s="377">
        <f t="shared" si="15"/>
        <v>3.5200000000000005</v>
      </c>
      <c r="L85" s="310">
        <f t="shared" si="16"/>
        <v>4.4000000000000004</v>
      </c>
    </row>
    <row r="86" spans="1:16">
      <c r="A86" s="35" t="s">
        <v>113</v>
      </c>
      <c r="B86" s="384">
        <v>2.17</v>
      </c>
      <c r="C86" s="297">
        <v>0.75</v>
      </c>
      <c r="D86" s="317">
        <f>I86</f>
        <v>2.2799999999999998</v>
      </c>
      <c r="E86" s="318">
        <f t="shared" si="22"/>
        <v>3.04</v>
      </c>
      <c r="F86" s="319">
        <f t="shared" si="23"/>
        <v>3.8</v>
      </c>
      <c r="G86" s="255" t="str">
        <f>VLOOKUP(A86,'mat order'!$A$15:$E$132,2,)</f>
        <v>Knowing God Personally (Mandarin) per set of 20</v>
      </c>
      <c r="H86" s="379"/>
      <c r="I86" s="377">
        <f t="shared" si="14"/>
        <v>2.2799999999999998</v>
      </c>
      <c r="J86" s="377"/>
      <c r="K86" s="377">
        <f t="shared" si="15"/>
        <v>3.04</v>
      </c>
      <c r="L86" s="310">
        <f t="shared" si="16"/>
        <v>3.8</v>
      </c>
    </row>
    <row r="87" spans="1:16" s="261" customFormat="1">
      <c r="A87" s="244" t="s">
        <v>114</v>
      </c>
      <c r="B87" s="386"/>
      <c r="C87" s="297">
        <v>0.75</v>
      </c>
      <c r="D87" s="317" t="s">
        <v>140</v>
      </c>
      <c r="E87" s="318">
        <f t="shared" si="22"/>
        <v>0</v>
      </c>
      <c r="F87" s="319">
        <f t="shared" si="23"/>
        <v>0</v>
      </c>
      <c r="G87" s="255" t="str">
        <f>VLOOKUP(A87,'mat order'!$A$15:$E$132,2,)</f>
        <v>God's Word for the World -- International Student Bible (each)</v>
      </c>
      <c r="H87" s="379"/>
      <c r="I87" s="377">
        <f t="shared" si="14"/>
        <v>0</v>
      </c>
      <c r="J87" s="377"/>
      <c r="K87" s="377">
        <f t="shared" si="15"/>
        <v>0</v>
      </c>
      <c r="L87" s="310">
        <f t="shared" si="16"/>
        <v>0</v>
      </c>
      <c r="M87" s="399"/>
    </row>
    <row r="88" spans="1:16">
      <c r="A88" s="35" t="s">
        <v>115</v>
      </c>
      <c r="B88" s="384">
        <v>3.8</v>
      </c>
      <c r="C88" s="297">
        <v>0.75</v>
      </c>
      <c r="D88" s="317">
        <f>I88</f>
        <v>4.0199999999999996</v>
      </c>
      <c r="E88" s="318">
        <f t="shared" si="22"/>
        <v>5.36</v>
      </c>
      <c r="F88" s="319">
        <f t="shared" si="23"/>
        <v>6.7</v>
      </c>
      <c r="G88" s="255" t="str">
        <f>VLOOKUP(A88,'mat order'!$A$15:$E$132,2,)</f>
        <v>Let's Talk About It</v>
      </c>
      <c r="H88" s="379"/>
      <c r="I88" s="377">
        <f t="shared" si="14"/>
        <v>4.0199999999999996</v>
      </c>
      <c r="J88" s="377"/>
      <c r="K88" s="377">
        <f t="shared" si="15"/>
        <v>5.36</v>
      </c>
      <c r="L88" s="310">
        <f t="shared" si="16"/>
        <v>6.7</v>
      </c>
    </row>
    <row r="89" spans="1:16">
      <c r="A89" s="35" t="s">
        <v>117</v>
      </c>
      <c r="B89" s="384">
        <v>8</v>
      </c>
      <c r="C89" s="297">
        <v>0.75</v>
      </c>
      <c r="D89" s="317">
        <f>I89</f>
        <v>8.3999999999999986</v>
      </c>
      <c r="E89" s="318">
        <f t="shared" si="22"/>
        <v>11.2</v>
      </c>
      <c r="F89" s="319">
        <f t="shared" si="23"/>
        <v>14</v>
      </c>
      <c r="G89" s="255" t="str">
        <f>VLOOKUP(A89,'mat order'!$A$15:$E$132,2,)</f>
        <v>The World at Your Door</v>
      </c>
      <c r="H89" s="379"/>
      <c r="I89" s="377">
        <f t="shared" si="14"/>
        <v>8.3999999999999986</v>
      </c>
      <c r="J89" s="377"/>
      <c r="K89" s="377">
        <f t="shared" si="15"/>
        <v>11.2</v>
      </c>
      <c r="L89" s="310">
        <f t="shared" si="16"/>
        <v>14</v>
      </c>
    </row>
    <row r="90" spans="1:16" s="261" customFormat="1">
      <c r="A90" s="244" t="s">
        <v>118</v>
      </c>
      <c r="B90" s="384"/>
      <c r="C90" s="297">
        <v>0.75</v>
      </c>
      <c r="D90" s="317" t="s">
        <v>140</v>
      </c>
      <c r="E90" s="318">
        <f t="shared" ref="E90:E101" si="24">K90</f>
        <v>0</v>
      </c>
      <c r="F90" s="319">
        <f t="shared" ref="F90:F101" si="25">L90</f>
        <v>0</v>
      </c>
      <c r="G90" s="255" t="e">
        <f>VLOOKUP(A90,'mat order'!$A$15:$E$132,2,)</f>
        <v>#N/A</v>
      </c>
      <c r="H90" s="379"/>
      <c r="I90" s="377">
        <f t="shared" si="14"/>
        <v>0</v>
      </c>
      <c r="J90" s="377"/>
      <c r="K90" s="377">
        <f t="shared" si="15"/>
        <v>0</v>
      </c>
      <c r="L90" s="310">
        <f t="shared" si="16"/>
        <v>0</v>
      </c>
      <c r="M90" s="399"/>
    </row>
    <row r="91" spans="1:16" s="261" customFormat="1">
      <c r="A91" s="244" t="s">
        <v>119</v>
      </c>
      <c r="B91" s="385"/>
      <c r="C91" s="297">
        <v>0.75</v>
      </c>
      <c r="D91" s="317">
        <f t="shared" ref="D91:D101" si="26">I91</f>
        <v>0</v>
      </c>
      <c r="E91" s="318">
        <f t="shared" si="24"/>
        <v>0</v>
      </c>
      <c r="F91" s="319">
        <f t="shared" si="25"/>
        <v>0</v>
      </c>
      <c r="G91" s="255" t="e">
        <f>VLOOKUP(A91,'mat order'!$A$15:$E$132,2,)</f>
        <v>#N/A</v>
      </c>
      <c r="H91" s="379"/>
      <c r="I91" s="377">
        <f t="shared" si="14"/>
        <v>0</v>
      </c>
      <c r="J91" s="377"/>
      <c r="K91" s="377">
        <f t="shared" si="15"/>
        <v>0</v>
      </c>
      <c r="L91" s="310">
        <f t="shared" si="16"/>
        <v>0</v>
      </c>
      <c r="M91" s="399"/>
    </row>
    <row r="92" spans="1:16">
      <c r="A92" s="35" t="s">
        <v>120</v>
      </c>
      <c r="B92" s="384">
        <v>4.1900000000000004</v>
      </c>
      <c r="C92" s="297">
        <v>0.75</v>
      </c>
      <c r="D92" s="317">
        <f t="shared" si="26"/>
        <v>4.38</v>
      </c>
      <c r="E92" s="318">
        <f t="shared" si="24"/>
        <v>5.84</v>
      </c>
      <c r="F92" s="319">
        <f t="shared" si="25"/>
        <v>7.3</v>
      </c>
      <c r="G92" s="255" t="e">
        <f>VLOOKUP(A92,'mat order'!$A$15:$E$132,2,)</f>
        <v>#N/A</v>
      </c>
      <c r="H92" s="379"/>
      <c r="I92" s="377">
        <f t="shared" si="14"/>
        <v>4.38</v>
      </c>
      <c r="J92" s="377"/>
      <c r="K92" s="377">
        <f t="shared" si="15"/>
        <v>5.84</v>
      </c>
      <c r="L92" s="310">
        <f t="shared" si="16"/>
        <v>7.3</v>
      </c>
    </row>
    <row r="93" spans="1:16">
      <c r="A93" s="35" t="s">
        <v>121</v>
      </c>
      <c r="B93" s="384">
        <v>4.1900000000000004</v>
      </c>
      <c r="C93" s="297">
        <v>0.75</v>
      </c>
      <c r="D93" s="317">
        <f t="shared" si="26"/>
        <v>4.38</v>
      </c>
      <c r="E93" s="318">
        <f t="shared" si="24"/>
        <v>5.84</v>
      </c>
      <c r="F93" s="319">
        <f t="shared" si="25"/>
        <v>7.3</v>
      </c>
      <c r="G93" s="255" t="e">
        <f>VLOOKUP(A93,'mat order'!$A$15:$E$132,2,)</f>
        <v>#N/A</v>
      </c>
      <c r="H93" s="379"/>
      <c r="I93" s="377">
        <f t="shared" si="14"/>
        <v>4.38</v>
      </c>
      <c r="J93" s="377"/>
      <c r="K93" s="377">
        <f t="shared" si="15"/>
        <v>5.84</v>
      </c>
      <c r="L93" s="310">
        <f t="shared" si="16"/>
        <v>7.3</v>
      </c>
    </row>
    <row r="94" spans="1:16">
      <c r="A94" s="35" t="s">
        <v>124</v>
      </c>
      <c r="B94" s="384">
        <v>3.62</v>
      </c>
      <c r="C94" s="297">
        <v>0.75</v>
      </c>
      <c r="D94" s="317">
        <f t="shared" si="26"/>
        <v>3.78</v>
      </c>
      <c r="E94" s="318">
        <f t="shared" si="24"/>
        <v>5.04</v>
      </c>
      <c r="F94" s="319">
        <f t="shared" si="25"/>
        <v>6.3</v>
      </c>
      <c r="G94" s="255" t="str">
        <f>VLOOKUP(A94,'mat order'!$A$15:$E$132,2,)</f>
        <v>Developing Cell Groups with International Students</v>
      </c>
      <c r="H94" s="379"/>
      <c r="I94" s="377">
        <f t="shared" si="14"/>
        <v>3.78</v>
      </c>
      <c r="J94" s="377"/>
      <c r="K94" s="377">
        <f t="shared" si="15"/>
        <v>5.04</v>
      </c>
      <c r="L94" s="310">
        <f t="shared" si="16"/>
        <v>6.3</v>
      </c>
    </row>
    <row r="95" spans="1:16" s="261" customFormat="1">
      <c r="A95" s="244" t="s">
        <v>125</v>
      </c>
      <c r="B95" s="386">
        <v>18.09</v>
      </c>
      <c r="C95" s="297">
        <v>0.75</v>
      </c>
      <c r="D95" s="317">
        <f t="shared" si="26"/>
        <v>19.02</v>
      </c>
      <c r="E95" s="318">
        <f t="shared" si="24"/>
        <v>25.36</v>
      </c>
      <c r="F95" s="319">
        <f t="shared" si="25"/>
        <v>31.7</v>
      </c>
      <c r="G95" s="255" t="e">
        <f>VLOOKUP(A95,'mat order'!$A$15:$E$132,2,)</f>
        <v>#N/A</v>
      </c>
      <c r="H95" s="379"/>
      <c r="I95" s="377">
        <f t="shared" si="14"/>
        <v>19.02</v>
      </c>
      <c r="J95" s="377"/>
      <c r="K95" s="377">
        <f t="shared" si="15"/>
        <v>25.36</v>
      </c>
      <c r="L95" s="310">
        <f t="shared" si="16"/>
        <v>31.7</v>
      </c>
      <c r="M95" s="399"/>
      <c r="N95" s="380"/>
      <c r="O95" s="380"/>
      <c r="P95" s="380"/>
    </row>
    <row r="96" spans="1:16">
      <c r="A96" s="35" t="s">
        <v>222</v>
      </c>
      <c r="B96" s="384">
        <v>2.75</v>
      </c>
      <c r="C96" s="297">
        <v>0.75</v>
      </c>
      <c r="D96" s="317" t="s">
        <v>140</v>
      </c>
      <c r="E96" s="318">
        <f t="shared" ref="E96" si="27">K96</f>
        <v>3.84</v>
      </c>
      <c r="F96" s="319">
        <f t="shared" ref="F96" si="28">L96</f>
        <v>4.8</v>
      </c>
      <c r="G96" s="255" t="str">
        <f>VLOOKUP(A96,'mat order'!$A$15:$E$132,2,)</f>
        <v>The Christ Factor:  Book 1 (PDF)</v>
      </c>
      <c r="H96" s="379"/>
      <c r="I96" s="377">
        <f t="shared" si="14"/>
        <v>2.88</v>
      </c>
      <c r="J96" s="377"/>
      <c r="K96" s="377">
        <f t="shared" si="15"/>
        <v>3.84</v>
      </c>
      <c r="L96" s="310">
        <f t="shared" si="16"/>
        <v>4.8</v>
      </c>
      <c r="N96" s="379"/>
      <c r="O96" s="275"/>
      <c r="P96" s="379"/>
    </row>
    <row r="97" spans="1:16" s="261" customFormat="1">
      <c r="A97" s="244" t="s">
        <v>559</v>
      </c>
      <c r="B97" s="386">
        <v>9.0500000000000007</v>
      </c>
      <c r="C97" s="297">
        <v>0.75</v>
      </c>
      <c r="D97" s="317">
        <f t="shared" si="26"/>
        <v>9.48</v>
      </c>
      <c r="E97" s="318">
        <f t="shared" si="24"/>
        <v>12.64</v>
      </c>
      <c r="F97" s="319">
        <f t="shared" si="25"/>
        <v>15.8</v>
      </c>
      <c r="G97" s="255" t="str">
        <f>VLOOKUP(A97,'mat order'!$A$15:$E$132,2,)</f>
        <v>Development Council Implementation Guide (PDF)</v>
      </c>
      <c r="H97" s="379"/>
      <c r="I97" s="377">
        <f t="shared" si="14"/>
        <v>9.48</v>
      </c>
      <c r="J97" s="377"/>
      <c r="K97" s="377">
        <f t="shared" si="15"/>
        <v>12.64</v>
      </c>
      <c r="L97" s="310">
        <f t="shared" si="16"/>
        <v>15.8</v>
      </c>
      <c r="M97" s="399"/>
      <c r="N97" s="380"/>
      <c r="O97" s="275"/>
      <c r="P97" s="380"/>
    </row>
    <row r="98" spans="1:16">
      <c r="A98" s="35" t="s">
        <v>235</v>
      </c>
      <c r="B98" s="384">
        <v>7.24</v>
      </c>
      <c r="C98" s="297">
        <v>0.75</v>
      </c>
      <c r="D98" s="317">
        <f t="shared" si="26"/>
        <v>7.6199999999999992</v>
      </c>
      <c r="E98" s="318">
        <f t="shared" si="24"/>
        <v>10.16</v>
      </c>
      <c r="F98" s="319">
        <f t="shared" si="25"/>
        <v>12.7</v>
      </c>
      <c r="G98" s="255" t="str">
        <f>VLOOKUP(A98,'mat order'!$A$15:$E$132,2,)</f>
        <v>Healing the Broken Family of Abraham</v>
      </c>
      <c r="H98" s="379"/>
      <c r="I98" s="377">
        <f t="shared" si="14"/>
        <v>7.6199999999999992</v>
      </c>
      <c r="J98" s="377"/>
      <c r="K98" s="377">
        <f t="shared" si="15"/>
        <v>10.16</v>
      </c>
      <c r="L98" s="310">
        <f t="shared" si="16"/>
        <v>12.7</v>
      </c>
      <c r="N98" s="379"/>
      <c r="O98" s="275"/>
      <c r="P98" s="379"/>
    </row>
    <row r="99" spans="1:16">
      <c r="A99" s="35" t="s">
        <v>263</v>
      </c>
      <c r="B99" s="384">
        <v>2.75</v>
      </c>
      <c r="C99" s="297">
        <v>0.75</v>
      </c>
      <c r="D99" s="317" t="s">
        <v>140</v>
      </c>
      <c r="E99" s="318">
        <f t="shared" ref="E99" si="29">K99</f>
        <v>3.84</v>
      </c>
      <c r="F99" s="319">
        <f t="shared" ref="F99" si="30">L99</f>
        <v>4.8</v>
      </c>
      <c r="G99" s="255" t="str">
        <f>VLOOKUP(A99,'mat order'!$A$15:$E$132,2,)</f>
        <v>The Christ Factor:  Seeds Take Root - Book 2 (PDF)</v>
      </c>
      <c r="H99" s="379"/>
      <c r="I99" s="377">
        <f t="shared" si="14"/>
        <v>2.88</v>
      </c>
      <c r="J99" s="377"/>
      <c r="K99" s="377">
        <f t="shared" si="15"/>
        <v>3.84</v>
      </c>
      <c r="L99" s="310">
        <f t="shared" si="16"/>
        <v>4.8</v>
      </c>
      <c r="N99" s="379"/>
      <c r="O99" s="275"/>
      <c r="P99" s="379"/>
    </row>
    <row r="100" spans="1:16">
      <c r="A100" s="244" t="s">
        <v>565</v>
      </c>
      <c r="B100" s="384">
        <v>8</v>
      </c>
      <c r="C100" s="297">
        <v>0.75</v>
      </c>
      <c r="D100" s="317">
        <f t="shared" si="26"/>
        <v>8.3999999999999986</v>
      </c>
      <c r="E100" s="318">
        <f t="shared" si="24"/>
        <v>11.2</v>
      </c>
      <c r="F100" s="319">
        <f t="shared" si="25"/>
        <v>14</v>
      </c>
      <c r="G100" s="255" t="str">
        <f>VLOOKUP(A100,'mat order'!$A$15:$E$132,2,)</f>
        <v>Church Mobilization Training (FP Training &amp; Leader)</v>
      </c>
      <c r="H100" s="379"/>
      <c r="I100" s="377">
        <f t="shared" si="14"/>
        <v>8.3999999999999986</v>
      </c>
      <c r="J100" s="377"/>
      <c r="K100" s="377">
        <f t="shared" si="15"/>
        <v>11.2</v>
      </c>
      <c r="L100" s="310">
        <f t="shared" si="16"/>
        <v>14</v>
      </c>
      <c r="N100" s="379"/>
      <c r="O100" s="275"/>
      <c r="P100" s="379"/>
    </row>
    <row r="101" spans="1:16">
      <c r="A101" s="35" t="s">
        <v>283</v>
      </c>
      <c r="B101" s="384">
        <v>2.68</v>
      </c>
      <c r="C101" s="297">
        <v>0.75</v>
      </c>
      <c r="D101" s="317">
        <f t="shared" si="26"/>
        <v>2.8200000000000003</v>
      </c>
      <c r="E101" s="318">
        <f t="shared" si="24"/>
        <v>3.7600000000000002</v>
      </c>
      <c r="F101" s="319">
        <f t="shared" si="25"/>
        <v>4.7</v>
      </c>
      <c r="G101" s="255" t="e">
        <f>VLOOKUP(A101,'mat order'!$A$15:$E$132,2,)</f>
        <v>#N/A</v>
      </c>
      <c r="H101" s="379"/>
      <c r="I101" s="377">
        <f t="shared" si="14"/>
        <v>2.8200000000000003</v>
      </c>
      <c r="J101" s="377"/>
      <c r="K101" s="377">
        <f t="shared" si="15"/>
        <v>3.7600000000000002</v>
      </c>
      <c r="L101" s="310">
        <f t="shared" si="16"/>
        <v>4.7</v>
      </c>
      <c r="N101" s="379"/>
      <c r="O101" s="275"/>
      <c r="P101" s="379"/>
    </row>
    <row r="102" spans="1:16">
      <c r="A102" s="35" t="s">
        <v>333</v>
      </c>
      <c r="B102" s="384"/>
      <c r="C102" s="297">
        <v>0.75</v>
      </c>
      <c r="D102" s="317" t="s">
        <v>140</v>
      </c>
      <c r="E102" s="318">
        <f t="shared" ref="E102:E111" si="31">K102</f>
        <v>0</v>
      </c>
      <c r="F102" s="319">
        <f t="shared" ref="F102:F111" si="32">L102</f>
        <v>0</v>
      </c>
      <c r="G102" s="255" t="str">
        <f>VLOOKUP(A102,'mat order'!$A$15:$E$132,2,)</f>
        <v>Following Jesus by Dr. Shaw (PDF)</v>
      </c>
      <c r="H102" s="379"/>
      <c r="I102" s="377">
        <f t="shared" si="14"/>
        <v>0</v>
      </c>
      <c r="J102" s="377"/>
      <c r="K102" s="377">
        <f>L102-L102*$J$3</f>
        <v>0</v>
      </c>
      <c r="L102" s="310">
        <f t="shared" si="16"/>
        <v>0</v>
      </c>
      <c r="N102" s="379"/>
      <c r="O102" s="275"/>
      <c r="P102" s="379"/>
    </row>
    <row r="103" spans="1:16">
      <c r="A103" s="35" t="s">
        <v>335</v>
      </c>
      <c r="B103" s="384"/>
      <c r="C103" s="297">
        <v>0.75</v>
      </c>
      <c r="D103" s="317" t="s">
        <v>140</v>
      </c>
      <c r="E103" s="318">
        <f t="shared" si="31"/>
        <v>0</v>
      </c>
      <c r="F103" s="319">
        <f t="shared" si="32"/>
        <v>0</v>
      </c>
      <c r="G103" s="255" t="str">
        <f>VLOOKUP(A103,'mat order'!$A$15:$E$132,2,)</f>
        <v>Sharing Jesus by Dr. Shaw (PDF)</v>
      </c>
      <c r="H103" s="379"/>
      <c r="I103" s="377">
        <f t="shared" si="14"/>
        <v>0</v>
      </c>
      <c r="J103" s="377"/>
      <c r="K103" s="377">
        <f t="shared" si="15"/>
        <v>0</v>
      </c>
      <c r="L103" s="310">
        <f t="shared" si="16"/>
        <v>0</v>
      </c>
      <c r="N103" s="379"/>
      <c r="O103" s="275"/>
      <c r="P103" s="379"/>
    </row>
    <row r="104" spans="1:16">
      <c r="A104" s="35" t="s">
        <v>352</v>
      </c>
      <c r="B104" s="384">
        <v>2.75</v>
      </c>
      <c r="C104" s="297">
        <v>0.75</v>
      </c>
      <c r="D104" s="317" t="s">
        <v>140</v>
      </c>
      <c r="E104" s="318">
        <f t="shared" si="31"/>
        <v>3.84</v>
      </c>
      <c r="F104" s="319">
        <f t="shared" si="32"/>
        <v>4.8</v>
      </c>
      <c r="G104" s="255" t="str">
        <f>VLOOKUP(A104,'mat order'!$A$15:$E$132,2,)</f>
        <v>The Christ Factor:  Real Look - Book 3 (PDF)</v>
      </c>
      <c r="H104" s="379"/>
      <c r="I104" s="377">
        <f t="shared" si="14"/>
        <v>2.88</v>
      </c>
      <c r="J104" s="377"/>
      <c r="K104" s="377">
        <f t="shared" si="15"/>
        <v>3.84</v>
      </c>
      <c r="L104" s="310">
        <f t="shared" si="16"/>
        <v>4.8</v>
      </c>
      <c r="N104" s="379"/>
      <c r="O104" s="275"/>
      <c r="P104" s="379"/>
    </row>
    <row r="105" spans="1:16" s="261" customFormat="1">
      <c r="A105" s="244" t="s">
        <v>560</v>
      </c>
      <c r="B105" s="386">
        <v>4.5999999999999996</v>
      </c>
      <c r="C105" s="297">
        <v>0.75</v>
      </c>
      <c r="D105" s="317">
        <f t="shared" ref="D105:D111" si="33">I105</f>
        <v>4.8599999999999994</v>
      </c>
      <c r="E105" s="318">
        <f t="shared" si="31"/>
        <v>6.4799999999999995</v>
      </c>
      <c r="F105" s="319">
        <f t="shared" si="32"/>
        <v>8.1</v>
      </c>
      <c r="G105" s="255" t="str">
        <f>VLOOKUP(A105,'mat order'!$A$15:$E$132,2,)</f>
        <v>Development Council Model/Case Study (PDF)</v>
      </c>
      <c r="H105" s="379"/>
      <c r="I105" s="377">
        <f t="shared" si="14"/>
        <v>4.8599999999999994</v>
      </c>
      <c r="J105" s="377"/>
      <c r="K105" s="377">
        <f t="shared" si="15"/>
        <v>6.4799999999999995</v>
      </c>
      <c r="L105" s="310">
        <f t="shared" si="16"/>
        <v>8.1</v>
      </c>
      <c r="M105" s="399"/>
      <c r="N105" s="380"/>
      <c r="O105" s="380"/>
      <c r="P105" s="380"/>
    </row>
    <row r="106" spans="1:16">
      <c r="A106" s="35" t="s">
        <v>467</v>
      </c>
      <c r="B106" s="384">
        <v>10</v>
      </c>
      <c r="C106" s="297">
        <v>0.75</v>
      </c>
      <c r="D106" s="317">
        <f t="shared" si="33"/>
        <v>10.5</v>
      </c>
      <c r="E106" s="318">
        <f t="shared" si="31"/>
        <v>14</v>
      </c>
      <c r="F106" s="319">
        <f t="shared" si="32"/>
        <v>17.5</v>
      </c>
      <c r="G106" s="255" t="str">
        <f>VLOOKUP(A106,'mat order'!$A$15:$E$132,2,)</f>
        <v>Church Team Leader Manual - part 1</v>
      </c>
      <c r="H106" s="379"/>
      <c r="I106" s="377">
        <f t="shared" si="14"/>
        <v>10.5</v>
      </c>
      <c r="J106" s="377"/>
      <c r="K106" s="377">
        <f t="shared" si="15"/>
        <v>14</v>
      </c>
      <c r="L106" s="310">
        <f t="shared" si="16"/>
        <v>17.5</v>
      </c>
      <c r="N106" s="379"/>
      <c r="O106" s="379"/>
      <c r="P106" s="379"/>
    </row>
    <row r="107" spans="1:16">
      <c r="A107" s="35" t="s">
        <v>468</v>
      </c>
      <c r="B107" s="384">
        <v>10</v>
      </c>
      <c r="C107" s="297">
        <v>0.75</v>
      </c>
      <c r="D107" s="317">
        <f t="shared" si="33"/>
        <v>10.5</v>
      </c>
      <c r="E107" s="318">
        <f t="shared" si="31"/>
        <v>14</v>
      </c>
      <c r="F107" s="319">
        <f t="shared" si="32"/>
        <v>17.5</v>
      </c>
      <c r="G107" s="255" t="str">
        <f>VLOOKUP(A107,'mat order'!$A$15:$E$132,2,)</f>
        <v>Church Team Trainer Manual - part 2</v>
      </c>
      <c r="H107" s="379"/>
      <c r="I107" s="377">
        <f t="shared" si="14"/>
        <v>10.5</v>
      </c>
      <c r="J107" s="377"/>
      <c r="K107" s="377">
        <f t="shared" si="15"/>
        <v>14</v>
      </c>
      <c r="L107" s="310">
        <f t="shared" si="16"/>
        <v>17.5</v>
      </c>
    </row>
    <row r="108" spans="1:16">
      <c r="A108" s="35" t="s">
        <v>469</v>
      </c>
      <c r="B108" s="384">
        <v>26.8</v>
      </c>
      <c r="C108" s="297">
        <v>0.75</v>
      </c>
      <c r="D108" s="317">
        <f t="shared" si="33"/>
        <v>28.139999999999997</v>
      </c>
      <c r="E108" s="318">
        <f t="shared" si="31"/>
        <v>37.519999999999996</v>
      </c>
      <c r="F108" s="319">
        <f t="shared" si="32"/>
        <v>46.9</v>
      </c>
      <c r="G108" s="255" t="str">
        <f>VLOOKUP(A108,'mat order'!$A$15:$E$132,2,)</f>
        <v>City Mobilizer Manual (includes Church Team Trainer &amp; Church Team Leader)</v>
      </c>
      <c r="H108" s="379"/>
      <c r="I108" s="377">
        <f t="shared" si="14"/>
        <v>28.139999999999997</v>
      </c>
      <c r="J108" s="377"/>
      <c r="K108" s="377">
        <f t="shared" si="15"/>
        <v>37.519999999999996</v>
      </c>
      <c r="L108" s="310">
        <f t="shared" si="16"/>
        <v>46.9</v>
      </c>
    </row>
    <row r="109" spans="1:16">
      <c r="A109" s="35" t="s">
        <v>471</v>
      </c>
      <c r="B109" s="384">
        <v>4.66</v>
      </c>
      <c r="C109" s="297">
        <v>0.75</v>
      </c>
      <c r="D109" s="317">
        <f t="shared" si="33"/>
        <v>4.17</v>
      </c>
      <c r="E109" s="318">
        <f t="shared" si="31"/>
        <v>5.5600000000000005</v>
      </c>
      <c r="F109" s="319">
        <f t="shared" si="32"/>
        <v>6.95</v>
      </c>
      <c r="G109" s="255" t="str">
        <f>VLOOKUP(A109,'mat order'!$A$15:$E$132,2,)</f>
        <v>Life's Deepest Question by Dr. Shaw</v>
      </c>
      <c r="H109" s="379"/>
      <c r="I109" s="377">
        <f t="shared" si="14"/>
        <v>4.17</v>
      </c>
      <c r="J109" s="377"/>
      <c r="K109" s="377">
        <f t="shared" si="15"/>
        <v>5.5600000000000005</v>
      </c>
      <c r="L109" s="310">
        <f t="shared" si="16"/>
        <v>6.95</v>
      </c>
      <c r="M109" s="398">
        <v>6.95</v>
      </c>
    </row>
    <row r="110" spans="1:16">
      <c r="A110" s="35" t="s">
        <v>480</v>
      </c>
      <c r="B110" s="384">
        <v>2.0099999999999998</v>
      </c>
      <c r="C110" s="297">
        <v>0.75</v>
      </c>
      <c r="D110" s="317">
        <f t="shared" si="33"/>
        <v>2.0999999999999996</v>
      </c>
      <c r="E110" s="318">
        <f t="shared" si="31"/>
        <v>2.8</v>
      </c>
      <c r="F110" s="319">
        <f t="shared" si="32"/>
        <v>3.5</v>
      </c>
      <c r="G110" s="255" t="str">
        <f>VLOOKUP(A110,'mat order'!$A$15:$E$132,2,)</f>
        <v>7 Universal Truths by Dr. Shaw</v>
      </c>
      <c r="H110" s="379"/>
      <c r="I110" s="377">
        <f t="shared" si="14"/>
        <v>2.0999999999999996</v>
      </c>
      <c r="J110" s="377"/>
      <c r="K110" s="377">
        <f t="shared" si="15"/>
        <v>2.8</v>
      </c>
      <c r="L110" s="310">
        <f t="shared" si="16"/>
        <v>3.5</v>
      </c>
    </row>
    <row r="111" spans="1:16">
      <c r="A111" s="35" t="s">
        <v>483</v>
      </c>
      <c r="B111" s="384">
        <v>3.335</v>
      </c>
      <c r="C111" s="297">
        <v>0.75</v>
      </c>
      <c r="D111" s="317">
        <f t="shared" si="33"/>
        <v>3.48</v>
      </c>
      <c r="E111" s="318">
        <f t="shared" si="31"/>
        <v>4.6399999999999997</v>
      </c>
      <c r="F111" s="319">
        <f t="shared" si="32"/>
        <v>5.8</v>
      </c>
      <c r="G111" s="255" t="str">
        <f>VLOOKUP(A111,'mat order'!$A$15:$E$132,2,)</f>
        <v>Truth Card - 7 Universal Truths (sold in set of 10)</v>
      </c>
      <c r="H111" s="379"/>
      <c r="I111" s="377">
        <f t="shared" si="14"/>
        <v>3.48</v>
      </c>
      <c r="J111" s="377"/>
      <c r="K111" s="377">
        <f t="shared" si="15"/>
        <v>4.6399999999999997</v>
      </c>
      <c r="L111" s="310">
        <f t="shared" si="16"/>
        <v>5.8</v>
      </c>
    </row>
    <row r="112" spans="1:16">
      <c r="A112" s="244" t="s">
        <v>561</v>
      </c>
      <c r="B112" s="384">
        <v>2.0099999999999998</v>
      </c>
      <c r="C112" s="297">
        <v>0.75</v>
      </c>
      <c r="D112" s="317">
        <f>I112</f>
        <v>2.0999999999999996</v>
      </c>
      <c r="E112" s="318">
        <f t="shared" ref="E112" si="34">K112</f>
        <v>2.8</v>
      </c>
      <c r="F112" s="319">
        <f t="shared" ref="F112" si="35">L112</f>
        <v>3.5</v>
      </c>
      <c r="G112" s="255" t="str">
        <f>VLOOKUP(A112,'mat order'!$A$15:$E$132,2,)</f>
        <v>International Women's Connection (PDF)</v>
      </c>
      <c r="H112" s="379"/>
      <c r="I112" s="377">
        <f t="shared" ref="I112:I145" si="36">L112-L112*$H$3</f>
        <v>2.0999999999999996</v>
      </c>
      <c r="J112" s="377"/>
      <c r="K112" s="377">
        <f t="shared" ref="K112:K145" si="37">L112-L112*$J$3</f>
        <v>2.8</v>
      </c>
      <c r="L112" s="310">
        <f t="shared" ref="L112:L145" si="38">IF(M112&gt;0,M112,ROUND(B112+(B112*C112),1))</f>
        <v>3.5</v>
      </c>
    </row>
    <row r="113" spans="1:13">
      <c r="A113" s="35" t="s">
        <v>148</v>
      </c>
      <c r="B113" s="384"/>
      <c r="C113" s="297">
        <v>0.75</v>
      </c>
      <c r="D113" s="317" t="s">
        <v>140</v>
      </c>
      <c r="E113" s="318">
        <f t="shared" ref="E113:F115" si="39">K113</f>
        <v>0</v>
      </c>
      <c r="F113" s="319">
        <f t="shared" si="39"/>
        <v>0</v>
      </c>
      <c r="G113" s="255" t="str">
        <f>VLOOKUP(A113,'mat order'!$A$15:$E$132,2,)</f>
        <v>Easy Giving Plan Cards</v>
      </c>
      <c r="H113" s="379"/>
      <c r="I113" s="377">
        <f t="shared" si="36"/>
        <v>0</v>
      </c>
      <c r="J113" s="377"/>
      <c r="K113" s="377">
        <f t="shared" si="37"/>
        <v>0</v>
      </c>
      <c r="L113" s="310">
        <f t="shared" si="38"/>
        <v>0</v>
      </c>
    </row>
    <row r="114" spans="1:13">
      <c r="A114" s="35" t="s">
        <v>150</v>
      </c>
      <c r="B114" s="384">
        <v>0.67</v>
      </c>
      <c r="C114" s="297">
        <v>0.75</v>
      </c>
      <c r="D114" s="317">
        <f>I114</f>
        <v>0.72</v>
      </c>
      <c r="E114" s="318">
        <f t="shared" si="39"/>
        <v>0.96</v>
      </c>
      <c r="F114" s="319">
        <f t="shared" si="39"/>
        <v>1.2</v>
      </c>
      <c r="G114" s="255" t="e">
        <f>VLOOKUP(A114,'mat order'!$A$15:$E$132,2,)</f>
        <v>#N/A</v>
      </c>
      <c r="H114" s="379"/>
      <c r="I114" s="377">
        <f t="shared" si="36"/>
        <v>0.72</v>
      </c>
      <c r="J114" s="377"/>
      <c r="K114" s="377">
        <f t="shared" si="37"/>
        <v>0.96</v>
      </c>
      <c r="L114" s="310">
        <f t="shared" si="38"/>
        <v>1.2</v>
      </c>
    </row>
    <row r="115" spans="1:13">
      <c r="A115" s="35" t="s">
        <v>466</v>
      </c>
      <c r="B115" s="384">
        <v>0.67</v>
      </c>
      <c r="C115" s="297">
        <v>0.75</v>
      </c>
      <c r="D115" s="317">
        <f>I115</f>
        <v>0.72</v>
      </c>
      <c r="E115" s="318">
        <f t="shared" si="39"/>
        <v>0.96</v>
      </c>
      <c r="F115" s="319">
        <f t="shared" si="39"/>
        <v>1.2</v>
      </c>
      <c r="G115" s="255" t="str">
        <f>VLOOKUP(A115,'mat order'!$A$15:$E$132,2,)</f>
        <v>Foreign Missions in Your Own Backyard</v>
      </c>
      <c r="H115" s="379"/>
      <c r="I115" s="377">
        <f t="shared" si="36"/>
        <v>0.72</v>
      </c>
      <c r="J115" s="377"/>
      <c r="K115" s="377">
        <f t="shared" si="37"/>
        <v>0.96</v>
      </c>
      <c r="L115" s="310">
        <f t="shared" si="38"/>
        <v>1.2</v>
      </c>
    </row>
    <row r="116" spans="1:13">
      <c r="A116" s="244" t="s">
        <v>519</v>
      </c>
      <c r="B116" s="386">
        <v>0</v>
      </c>
      <c r="C116" s="297">
        <v>0.75</v>
      </c>
      <c r="D116" s="317" t="s">
        <v>140</v>
      </c>
      <c r="E116" s="318">
        <f t="shared" ref="E116:E127" si="40">K116</f>
        <v>0</v>
      </c>
      <c r="F116" s="319">
        <f t="shared" ref="F116:F127" si="41">L116</f>
        <v>0</v>
      </c>
      <c r="G116" s="255" t="str">
        <f>VLOOKUP(A116,'mat order'!$A$15:$E$132,2,)</f>
        <v>Foreign Missions in Your Own Backyard (PDF)</v>
      </c>
      <c r="H116" s="379"/>
      <c r="I116" s="377">
        <f t="shared" si="36"/>
        <v>0</v>
      </c>
      <c r="J116" s="377"/>
      <c r="K116" s="377">
        <f t="shared" si="37"/>
        <v>0</v>
      </c>
      <c r="L116" s="310">
        <f t="shared" si="38"/>
        <v>0</v>
      </c>
    </row>
    <row r="117" spans="1:13" s="261" customFormat="1">
      <c r="A117" s="244" t="s">
        <v>152</v>
      </c>
      <c r="B117" s="386">
        <v>0.67</v>
      </c>
      <c r="C117" s="297">
        <v>0.75</v>
      </c>
      <c r="D117" s="317">
        <f t="shared" ref="D117" si="42">I117</f>
        <v>0.72</v>
      </c>
      <c r="E117" s="318">
        <f t="shared" ref="E117" si="43">K117</f>
        <v>0.96</v>
      </c>
      <c r="F117" s="319">
        <f t="shared" ref="F117" si="44">L117</f>
        <v>1.2</v>
      </c>
      <c r="G117" s="403" t="s">
        <v>637</v>
      </c>
      <c r="H117" s="379"/>
      <c r="I117" s="377">
        <f t="shared" ref="I117" si="45">L117-L117*$H$3</f>
        <v>0.72</v>
      </c>
      <c r="J117" s="377"/>
      <c r="K117" s="377">
        <f t="shared" ref="K117" si="46">L117-L117*$J$3</f>
        <v>0.96</v>
      </c>
      <c r="L117" s="310">
        <f t="shared" ref="L117" si="47">IF(M117&gt;0,M117,ROUND(B117+(B117*C117),1))</f>
        <v>1.2</v>
      </c>
      <c r="M117" s="399"/>
    </row>
    <row r="118" spans="1:13" s="261" customFormat="1">
      <c r="A118" s="244" t="s">
        <v>502</v>
      </c>
      <c r="B118" s="386">
        <v>0.67</v>
      </c>
      <c r="C118" s="297">
        <v>0.75</v>
      </c>
      <c r="D118" s="317">
        <f t="shared" ref="D118:D127" si="48">I118</f>
        <v>0.72</v>
      </c>
      <c r="E118" s="318">
        <f t="shared" si="40"/>
        <v>0.96</v>
      </c>
      <c r="F118" s="319">
        <f t="shared" si="41"/>
        <v>1.2</v>
      </c>
      <c r="G118" s="255" t="str">
        <f>VLOOKUP(A118,'mat order'!$A$15:$E$132,2,)</f>
        <v>Recruitment Postor Set (2 poster &amp; cards)</v>
      </c>
      <c r="H118" s="379"/>
      <c r="I118" s="377">
        <f t="shared" si="36"/>
        <v>0.72</v>
      </c>
      <c r="J118" s="377"/>
      <c r="K118" s="377">
        <f t="shared" si="37"/>
        <v>0.96</v>
      </c>
      <c r="L118" s="310">
        <f t="shared" si="38"/>
        <v>1.2</v>
      </c>
      <c r="M118" s="399"/>
    </row>
    <row r="119" spans="1:13">
      <c r="A119" s="35" t="s">
        <v>153</v>
      </c>
      <c r="B119" s="384">
        <v>0.67</v>
      </c>
      <c r="C119" s="297">
        <v>0.75</v>
      </c>
      <c r="D119" s="317">
        <f t="shared" si="48"/>
        <v>0.72</v>
      </c>
      <c r="E119" s="318">
        <f t="shared" si="40"/>
        <v>0.96</v>
      </c>
      <c r="F119" s="319">
        <f t="shared" si="41"/>
        <v>1.2</v>
      </c>
      <c r="G119" s="255" t="str">
        <f>VLOOKUP(A119,'mat order'!$A$15:$E$132,2,)</f>
        <v>You Have a Friend in the USA</v>
      </c>
      <c r="H119" s="379"/>
      <c r="I119" s="377">
        <f t="shared" si="36"/>
        <v>0.72</v>
      </c>
      <c r="J119" s="377"/>
      <c r="K119" s="377">
        <f t="shared" si="37"/>
        <v>0.96</v>
      </c>
      <c r="L119" s="310">
        <f t="shared" si="38"/>
        <v>1.2</v>
      </c>
    </row>
    <row r="120" spans="1:13">
      <c r="A120" s="35" t="s">
        <v>158</v>
      </c>
      <c r="B120" s="384">
        <v>0.67</v>
      </c>
      <c r="C120" s="297">
        <v>0.75</v>
      </c>
      <c r="D120" s="317">
        <f t="shared" si="48"/>
        <v>0.72</v>
      </c>
      <c r="E120" s="318">
        <f t="shared" si="40"/>
        <v>0.96</v>
      </c>
      <c r="F120" s="319">
        <f t="shared" si="41"/>
        <v>1.2</v>
      </c>
      <c r="G120" s="255" t="str">
        <f>VLOOKUP(A120,'mat order'!$A$15:$E$132,2,)</f>
        <v>Reaching the World on American Colleges</v>
      </c>
      <c r="H120" s="379"/>
      <c r="I120" s="377">
        <f t="shared" si="36"/>
        <v>0.72</v>
      </c>
      <c r="J120" s="377"/>
      <c r="K120" s="377">
        <f t="shared" si="37"/>
        <v>0.96</v>
      </c>
      <c r="L120" s="310">
        <f t="shared" si="38"/>
        <v>1.2</v>
      </c>
    </row>
    <row r="121" spans="1:13">
      <c r="A121" s="35" t="s">
        <v>159</v>
      </c>
      <c r="B121" s="384">
        <v>5.7</v>
      </c>
      <c r="C121" s="297">
        <v>0.75</v>
      </c>
      <c r="D121" s="317">
        <f t="shared" si="48"/>
        <v>6</v>
      </c>
      <c r="E121" s="318">
        <f t="shared" si="40"/>
        <v>8</v>
      </c>
      <c r="F121" s="319">
        <f t="shared" si="41"/>
        <v>10</v>
      </c>
      <c r="G121" s="255" t="str">
        <f>VLOOKUP(A121,'mat order'!$A$15:$E$132,2,)</f>
        <v>ISI Umbrella</v>
      </c>
      <c r="H121" s="379"/>
      <c r="I121" s="377">
        <f t="shared" si="36"/>
        <v>6</v>
      </c>
      <c r="J121" s="377"/>
      <c r="K121" s="377">
        <f t="shared" si="37"/>
        <v>8</v>
      </c>
      <c r="L121" s="310">
        <f t="shared" si="38"/>
        <v>10</v>
      </c>
    </row>
    <row r="122" spans="1:13">
      <c r="A122" s="35" t="s">
        <v>160</v>
      </c>
      <c r="B122" s="384">
        <v>0.67</v>
      </c>
      <c r="C122" s="297">
        <v>0.75</v>
      </c>
      <c r="D122" s="317">
        <f t="shared" si="48"/>
        <v>0.72</v>
      </c>
      <c r="E122" s="318">
        <f t="shared" si="40"/>
        <v>0.96</v>
      </c>
      <c r="F122" s="319">
        <f t="shared" si="41"/>
        <v>1.2</v>
      </c>
      <c r="G122" s="255" t="str">
        <f>VLOOKUP(A122,'mat order'!$A$15:$E$132,2,)</f>
        <v>Looking For a Second Career</v>
      </c>
      <c r="H122" s="379"/>
      <c r="I122" s="377">
        <f t="shared" si="36"/>
        <v>0.72</v>
      </c>
      <c r="J122" s="377"/>
      <c r="K122" s="377">
        <f t="shared" si="37"/>
        <v>0.96</v>
      </c>
      <c r="L122" s="310">
        <f t="shared" si="38"/>
        <v>1.2</v>
      </c>
    </row>
    <row r="123" spans="1:13">
      <c r="A123" s="35" t="s">
        <v>161</v>
      </c>
      <c r="B123" s="384">
        <v>3.335</v>
      </c>
      <c r="C123" s="297">
        <v>0.75</v>
      </c>
      <c r="D123" s="317">
        <f t="shared" si="48"/>
        <v>3.48</v>
      </c>
      <c r="E123" s="318">
        <f t="shared" si="40"/>
        <v>4.6399999999999997</v>
      </c>
      <c r="F123" s="319">
        <f t="shared" si="41"/>
        <v>5.8</v>
      </c>
      <c r="G123" s="255" t="str">
        <f>VLOOKUP(A123,'mat order'!$A$15:$E$132,2,)</f>
        <v>Multi-Language Thank You Cards w/envelopes (set of 10)</v>
      </c>
      <c r="H123" s="379"/>
      <c r="I123" s="377">
        <f t="shared" si="36"/>
        <v>3.48</v>
      </c>
      <c r="J123" s="377"/>
      <c r="K123" s="377">
        <f t="shared" si="37"/>
        <v>4.6399999999999997</v>
      </c>
      <c r="L123" s="310">
        <f t="shared" si="38"/>
        <v>5.8</v>
      </c>
    </row>
    <row r="124" spans="1:13" s="261" customFormat="1">
      <c r="A124" s="244" t="s">
        <v>363</v>
      </c>
      <c r="B124" s="386">
        <v>0.67</v>
      </c>
      <c r="C124" s="297">
        <v>0.75</v>
      </c>
      <c r="D124" s="317">
        <f t="shared" si="48"/>
        <v>0.72</v>
      </c>
      <c r="E124" s="318">
        <f t="shared" si="40"/>
        <v>0.96</v>
      </c>
      <c r="F124" s="319">
        <f t="shared" si="41"/>
        <v>1.2</v>
      </c>
      <c r="G124" s="255" t="str">
        <f>VLOOKUP(A124,'mat order'!$A$15:$E$132,2,)</f>
        <v>Coming to America</v>
      </c>
      <c r="H124" s="379"/>
      <c r="I124" s="377">
        <f t="shared" si="36"/>
        <v>0.72</v>
      </c>
      <c r="J124" s="377"/>
      <c r="K124" s="377">
        <f t="shared" si="37"/>
        <v>0.96</v>
      </c>
      <c r="L124" s="310">
        <f t="shared" si="38"/>
        <v>1.2</v>
      </c>
      <c r="M124" s="399"/>
    </row>
    <row r="125" spans="1:13">
      <c r="A125" s="244" t="s">
        <v>138</v>
      </c>
      <c r="B125" s="384">
        <v>4.55</v>
      </c>
      <c r="C125" s="297">
        <v>0.75</v>
      </c>
      <c r="D125" s="317">
        <f t="shared" si="48"/>
        <v>4.8</v>
      </c>
      <c r="E125" s="318">
        <f t="shared" si="40"/>
        <v>6.4</v>
      </c>
      <c r="F125" s="319">
        <f t="shared" si="41"/>
        <v>8</v>
      </c>
      <c r="G125" s="255" t="s">
        <v>646</v>
      </c>
      <c r="H125" s="379"/>
      <c r="I125" s="377">
        <f t="shared" si="36"/>
        <v>4.8</v>
      </c>
      <c r="J125" s="377"/>
      <c r="K125" s="377">
        <f t="shared" si="37"/>
        <v>6.4</v>
      </c>
      <c r="L125" s="310">
        <f t="shared" si="38"/>
        <v>8</v>
      </c>
    </row>
    <row r="126" spans="1:13">
      <c r="A126" s="35" t="s">
        <v>162</v>
      </c>
      <c r="B126" s="384">
        <v>0.67</v>
      </c>
      <c r="C126" s="297">
        <v>0.75</v>
      </c>
      <c r="D126" s="317">
        <f t="shared" si="48"/>
        <v>0.72</v>
      </c>
      <c r="E126" s="318">
        <f t="shared" si="40"/>
        <v>0.96</v>
      </c>
      <c r="F126" s="319">
        <f t="shared" si="41"/>
        <v>1.2</v>
      </c>
      <c r="G126" s="255" t="str">
        <f>VLOOKUP(A126,'mat order'!$A$15:$E$132,2,)</f>
        <v>Take Me to Your Leader (staff recruiting brochure)</v>
      </c>
      <c r="H126" s="379"/>
      <c r="I126" s="377">
        <f t="shared" si="36"/>
        <v>0.72</v>
      </c>
      <c r="J126" s="377"/>
      <c r="K126" s="377">
        <f t="shared" si="37"/>
        <v>0.96</v>
      </c>
      <c r="L126" s="310">
        <f t="shared" si="38"/>
        <v>1.2</v>
      </c>
    </row>
    <row r="127" spans="1:13">
      <c r="A127" s="35" t="s">
        <v>242</v>
      </c>
      <c r="B127" s="384">
        <v>0.67</v>
      </c>
      <c r="C127" s="297">
        <v>0.75</v>
      </c>
      <c r="D127" s="317">
        <f t="shared" si="48"/>
        <v>0.72</v>
      </c>
      <c r="E127" s="318">
        <f t="shared" si="40"/>
        <v>0.96</v>
      </c>
      <c r="F127" s="319">
        <f t="shared" si="41"/>
        <v>1.2</v>
      </c>
      <c r="G127" s="255" t="e">
        <f>VLOOKUP(A127,'mat order'!$A$15:$E$132,2,)</f>
        <v>#N/A</v>
      </c>
      <c r="H127" s="379"/>
      <c r="I127" s="377">
        <f t="shared" si="36"/>
        <v>0.72</v>
      </c>
      <c r="J127" s="377"/>
      <c r="K127" s="377">
        <f t="shared" si="37"/>
        <v>0.96</v>
      </c>
      <c r="L127" s="310">
        <f t="shared" si="38"/>
        <v>1.2</v>
      </c>
    </row>
    <row r="128" spans="1:13">
      <c r="A128" s="35" t="s">
        <v>243</v>
      </c>
      <c r="B128" s="384">
        <v>38.085000000000001</v>
      </c>
      <c r="C128" s="297">
        <v>0.75</v>
      </c>
      <c r="D128" s="317">
        <v>40</v>
      </c>
      <c r="E128" s="318">
        <f t="shared" ref="E128:F131" si="49">K128</f>
        <v>53.279999999999994</v>
      </c>
      <c r="F128" s="319">
        <f t="shared" si="49"/>
        <v>66.599999999999994</v>
      </c>
      <c r="G128" s="255" t="str">
        <f>VLOOKUP(A128,'mat order'!$A$15:$E$132,2,)</f>
        <v>New Donor Envelopes (per box of 500)</v>
      </c>
      <c r="H128" s="379"/>
      <c r="I128" s="377">
        <f t="shared" si="36"/>
        <v>39.959999999999994</v>
      </c>
      <c r="J128" s="377"/>
      <c r="K128" s="377">
        <f t="shared" si="37"/>
        <v>53.279999999999994</v>
      </c>
      <c r="L128" s="310">
        <f t="shared" si="38"/>
        <v>66.599999999999994</v>
      </c>
    </row>
    <row r="129" spans="1:13">
      <c r="A129" s="35" t="s">
        <v>245</v>
      </c>
      <c r="B129" s="384">
        <v>0.67</v>
      </c>
      <c r="C129" s="297">
        <v>0.75</v>
      </c>
      <c r="D129" s="317">
        <f>I129</f>
        <v>0.72</v>
      </c>
      <c r="E129" s="318">
        <f t="shared" si="49"/>
        <v>0.96</v>
      </c>
      <c r="F129" s="319">
        <f t="shared" si="49"/>
        <v>1.2</v>
      </c>
      <c r="G129" s="255" t="str">
        <f>VLOOKUP(A129,'mat order'!$A$15:$E$132,2,)</f>
        <v>Friendship Partner Ministry brochure</v>
      </c>
      <c r="H129" s="379"/>
      <c r="I129" s="377">
        <f t="shared" si="36"/>
        <v>0.72</v>
      </c>
      <c r="J129" s="377"/>
      <c r="K129" s="377">
        <f t="shared" si="37"/>
        <v>0.96</v>
      </c>
      <c r="L129" s="310">
        <f t="shared" si="38"/>
        <v>1.2</v>
      </c>
    </row>
    <row r="130" spans="1:13">
      <c r="A130" s="244" t="s">
        <v>246</v>
      </c>
      <c r="B130" s="384">
        <v>0.67</v>
      </c>
      <c r="C130" s="297">
        <v>0.75</v>
      </c>
      <c r="D130" s="317">
        <f>I130</f>
        <v>0.72</v>
      </c>
      <c r="E130" s="318">
        <f t="shared" si="49"/>
        <v>0.96</v>
      </c>
      <c r="F130" s="319">
        <f t="shared" si="49"/>
        <v>1.2</v>
      </c>
      <c r="G130" s="35" t="s">
        <v>247</v>
      </c>
      <c r="H130" s="379"/>
      <c r="I130" s="377">
        <f t="shared" si="36"/>
        <v>0.72</v>
      </c>
      <c r="J130" s="377"/>
      <c r="K130" s="377">
        <f t="shared" si="37"/>
        <v>0.96</v>
      </c>
      <c r="L130" s="310">
        <f t="shared" si="38"/>
        <v>1.2</v>
      </c>
    </row>
    <row r="131" spans="1:13">
      <c r="A131" s="35" t="s">
        <v>248</v>
      </c>
      <c r="B131" s="384">
        <v>0.67</v>
      </c>
      <c r="C131" s="297">
        <v>0.75</v>
      </c>
      <c r="D131" s="317">
        <f>I131</f>
        <v>0.72</v>
      </c>
      <c r="E131" s="318">
        <f t="shared" si="49"/>
        <v>0.96</v>
      </c>
      <c r="F131" s="319">
        <f t="shared" si="49"/>
        <v>1.2</v>
      </c>
      <c r="G131" s="255" t="e">
        <f>VLOOKUP(A131,'mat order'!$A$15:$E$132,2,)</f>
        <v>#N/A</v>
      </c>
      <c r="H131" s="379"/>
      <c r="I131" s="377">
        <f t="shared" si="36"/>
        <v>0.72</v>
      </c>
      <c r="J131" s="377"/>
      <c r="K131" s="377">
        <f t="shared" si="37"/>
        <v>0.96</v>
      </c>
      <c r="L131" s="310">
        <f t="shared" si="38"/>
        <v>1.2</v>
      </c>
    </row>
    <row r="132" spans="1:13" s="260" customFormat="1">
      <c r="A132" s="244" t="s">
        <v>249</v>
      </c>
      <c r="B132" s="386">
        <v>40</v>
      </c>
      <c r="C132" s="297">
        <v>0.75</v>
      </c>
      <c r="D132" s="317">
        <v>40</v>
      </c>
      <c r="E132" s="318">
        <f t="shared" ref="E132:E135" si="50">K132</f>
        <v>56</v>
      </c>
      <c r="F132" s="319">
        <f t="shared" ref="F132:F135" si="51">L132</f>
        <v>70</v>
      </c>
      <c r="G132" s="255" t="str">
        <f>VLOOKUP(A132,'mat order'!$A$15:$E$132,2,)</f>
        <v>CRE Envelopes (per box of 500)</v>
      </c>
      <c r="H132" s="379"/>
      <c r="I132" s="377">
        <f t="shared" si="36"/>
        <v>42</v>
      </c>
      <c r="J132" s="377"/>
      <c r="K132" s="377">
        <f t="shared" si="37"/>
        <v>56</v>
      </c>
      <c r="L132" s="310">
        <f t="shared" si="38"/>
        <v>70</v>
      </c>
      <c r="M132" s="400"/>
    </row>
    <row r="133" spans="1:13">
      <c r="A133" s="244" t="s">
        <v>571</v>
      </c>
      <c r="B133" s="384">
        <v>1.68</v>
      </c>
      <c r="C133" s="297">
        <v>0.75</v>
      </c>
      <c r="D133" s="317">
        <f t="shared" ref="D133:D135" si="52">I133</f>
        <v>1.74</v>
      </c>
      <c r="E133" s="318">
        <f t="shared" si="50"/>
        <v>2.3199999999999998</v>
      </c>
      <c r="F133" s="319">
        <f t="shared" si="51"/>
        <v>2.9</v>
      </c>
      <c r="G133" s="255" t="str">
        <f>VLOOKUP(A133,'mat order'!$A$15:$E$132,2,)</f>
        <v>ISI Promotional DVD - 45 second and 3 minute presentation</v>
      </c>
      <c r="H133" s="379"/>
      <c r="I133" s="377">
        <f t="shared" si="36"/>
        <v>1.74</v>
      </c>
      <c r="J133" s="377"/>
      <c r="K133" s="377">
        <f t="shared" si="37"/>
        <v>2.3199999999999998</v>
      </c>
      <c r="L133" s="310">
        <f t="shared" si="38"/>
        <v>2.9</v>
      </c>
    </row>
    <row r="134" spans="1:13">
      <c r="A134" s="35" t="s">
        <v>265</v>
      </c>
      <c r="B134" s="384">
        <v>0.67</v>
      </c>
      <c r="C134" s="297">
        <v>0.75</v>
      </c>
      <c r="D134" s="317">
        <f t="shared" si="52"/>
        <v>0.72</v>
      </c>
      <c r="E134" s="318">
        <f t="shared" si="50"/>
        <v>0.96</v>
      </c>
      <c r="F134" s="319">
        <f t="shared" si="51"/>
        <v>1.2</v>
      </c>
      <c r="G134" s="255" t="e">
        <f>VLOOKUP(A134,'mat order'!$A$15:$E$132,2,)</f>
        <v>#N/A</v>
      </c>
      <c r="H134" s="379"/>
      <c r="I134" s="377">
        <f t="shared" si="36"/>
        <v>0.72</v>
      </c>
      <c r="J134" s="377"/>
      <c r="K134" s="377">
        <f t="shared" si="37"/>
        <v>0.96</v>
      </c>
      <c r="L134" s="310">
        <f t="shared" si="38"/>
        <v>1.2</v>
      </c>
    </row>
    <row r="135" spans="1:13">
      <c r="A135" s="35" t="s">
        <v>266</v>
      </c>
      <c r="B135" s="384">
        <v>4.6900000000000004</v>
      </c>
      <c r="C135" s="297">
        <v>0.75</v>
      </c>
      <c r="D135" s="317">
        <f t="shared" si="52"/>
        <v>4.92</v>
      </c>
      <c r="E135" s="318">
        <f t="shared" si="50"/>
        <v>6.56</v>
      </c>
      <c r="F135" s="319">
        <f t="shared" si="51"/>
        <v>8.1999999999999993</v>
      </c>
      <c r="G135" s="255" t="e">
        <f>VLOOKUP(A135,'mat order'!$A$15:$E$132,2,)</f>
        <v>#N/A</v>
      </c>
      <c r="H135" s="379"/>
      <c r="I135" s="377">
        <f t="shared" si="36"/>
        <v>4.92</v>
      </c>
      <c r="J135" s="377"/>
      <c r="K135" s="377">
        <f t="shared" si="37"/>
        <v>6.56</v>
      </c>
      <c r="L135" s="310">
        <f t="shared" si="38"/>
        <v>8.1999999999999993</v>
      </c>
    </row>
    <row r="136" spans="1:13" s="260" customFormat="1">
      <c r="A136" s="244" t="s">
        <v>337</v>
      </c>
      <c r="B136" s="386"/>
      <c r="C136" s="297">
        <v>0.75</v>
      </c>
      <c r="D136" s="317" t="s">
        <v>140</v>
      </c>
      <c r="E136" s="318">
        <f t="shared" ref="E136:E148" si="53">K136</f>
        <v>0</v>
      </c>
      <c r="F136" s="319">
        <f t="shared" ref="F136:F148" si="54">L136</f>
        <v>0</v>
      </c>
      <c r="G136" s="255" t="e">
        <f>VLOOKUP(A136,'mat order'!$A$15:$E$132,2,)</f>
        <v>#N/A</v>
      </c>
      <c r="H136" s="379"/>
      <c r="I136" s="377">
        <f t="shared" si="36"/>
        <v>0</v>
      </c>
      <c r="J136" s="377"/>
      <c r="K136" s="377">
        <f t="shared" si="37"/>
        <v>0</v>
      </c>
      <c r="L136" s="310">
        <f t="shared" si="38"/>
        <v>0</v>
      </c>
      <c r="M136" s="400"/>
    </row>
    <row r="137" spans="1:13">
      <c r="A137" s="35" t="s">
        <v>478</v>
      </c>
      <c r="B137" s="384">
        <v>0</v>
      </c>
      <c r="C137" s="297">
        <v>0.75</v>
      </c>
      <c r="D137" s="317">
        <v>1.25</v>
      </c>
      <c r="E137" s="318">
        <f t="shared" si="53"/>
        <v>0</v>
      </c>
      <c r="F137" s="319">
        <f t="shared" si="54"/>
        <v>0</v>
      </c>
      <c r="G137" s="403" t="s">
        <v>626</v>
      </c>
      <c r="H137" s="379"/>
      <c r="I137" s="377">
        <v>1.25</v>
      </c>
      <c r="J137" s="377"/>
      <c r="K137" s="377">
        <f t="shared" si="37"/>
        <v>0</v>
      </c>
      <c r="L137" s="310">
        <f t="shared" si="38"/>
        <v>0</v>
      </c>
    </row>
    <row r="138" spans="1:13" s="261" customFormat="1">
      <c r="A138" s="244" t="s">
        <v>482</v>
      </c>
      <c r="B138" s="386"/>
      <c r="C138" s="402">
        <v>0.75</v>
      </c>
      <c r="D138" s="320">
        <v>3.5</v>
      </c>
      <c r="E138" s="318">
        <f t="shared" si="53"/>
        <v>0</v>
      </c>
      <c r="F138" s="319">
        <f t="shared" si="54"/>
        <v>0</v>
      </c>
      <c r="G138" s="403" t="s">
        <v>625</v>
      </c>
      <c r="H138" s="404"/>
      <c r="I138" s="405">
        <v>3.5</v>
      </c>
      <c r="J138" s="405"/>
      <c r="K138" s="405">
        <f t="shared" si="37"/>
        <v>0</v>
      </c>
      <c r="L138" s="333">
        <f t="shared" si="38"/>
        <v>0</v>
      </c>
      <c r="M138" s="399"/>
    </row>
    <row r="139" spans="1:13">
      <c r="A139" s="35" t="s">
        <v>495</v>
      </c>
      <c r="B139" s="384"/>
      <c r="C139" s="297">
        <v>0.75</v>
      </c>
      <c r="D139" s="317">
        <f t="shared" ref="D139:D148" si="55">I139</f>
        <v>0</v>
      </c>
      <c r="E139" s="318">
        <f t="shared" si="53"/>
        <v>0</v>
      </c>
      <c r="F139" s="319">
        <f t="shared" si="54"/>
        <v>0</v>
      </c>
      <c r="G139" s="255" t="str">
        <f>VLOOKUP(A139,'mat order'!$A$15:$E$132,2,)</f>
        <v>Greetings Postcard</v>
      </c>
      <c r="H139" s="379"/>
      <c r="I139" s="377">
        <f t="shared" si="36"/>
        <v>0</v>
      </c>
      <c r="J139" s="377"/>
      <c r="K139" s="377">
        <f t="shared" si="37"/>
        <v>0</v>
      </c>
      <c r="L139" s="310">
        <f t="shared" si="38"/>
        <v>0</v>
      </c>
    </row>
    <row r="140" spans="1:13" s="417" customFormat="1">
      <c r="A140" s="407" t="s">
        <v>506</v>
      </c>
      <c r="B140" s="408"/>
      <c r="C140" s="409">
        <v>0.75</v>
      </c>
      <c r="D140" s="410">
        <f t="shared" si="55"/>
        <v>1.7</v>
      </c>
      <c r="E140" s="411">
        <f t="shared" si="53"/>
        <v>0</v>
      </c>
      <c r="F140" s="412">
        <f t="shared" si="54"/>
        <v>0</v>
      </c>
      <c r="G140" s="406" t="s">
        <v>631</v>
      </c>
      <c r="H140" s="413"/>
      <c r="I140" s="414">
        <v>1.7</v>
      </c>
      <c r="J140" s="414"/>
      <c r="K140" s="414">
        <f t="shared" si="37"/>
        <v>0</v>
      </c>
      <c r="L140" s="415">
        <f t="shared" si="38"/>
        <v>0</v>
      </c>
      <c r="M140" s="416"/>
    </row>
    <row r="141" spans="1:13" s="417" customFormat="1">
      <c r="A141" s="407" t="s">
        <v>196</v>
      </c>
      <c r="B141" s="408"/>
      <c r="C141" s="409">
        <v>0.75</v>
      </c>
      <c r="D141" s="410">
        <f t="shared" si="55"/>
        <v>6.5</v>
      </c>
      <c r="E141" s="411">
        <f t="shared" si="53"/>
        <v>0</v>
      </c>
      <c r="F141" s="412">
        <f t="shared" si="54"/>
        <v>0</v>
      </c>
      <c r="G141" s="406" t="s">
        <v>630</v>
      </c>
      <c r="H141" s="413"/>
      <c r="I141" s="414">
        <v>6.5</v>
      </c>
      <c r="J141" s="414"/>
      <c r="K141" s="414">
        <f t="shared" si="37"/>
        <v>0</v>
      </c>
      <c r="L141" s="415">
        <f t="shared" si="38"/>
        <v>0</v>
      </c>
      <c r="M141" s="416"/>
    </row>
    <row r="142" spans="1:13" s="260" customFormat="1">
      <c r="A142" s="244" t="s">
        <v>530</v>
      </c>
      <c r="B142" s="386">
        <v>4.6900000000000004</v>
      </c>
      <c r="C142" s="297">
        <v>0.75</v>
      </c>
      <c r="D142" s="317">
        <f t="shared" si="55"/>
        <v>2.34</v>
      </c>
      <c r="E142" s="318">
        <f t="shared" si="53"/>
        <v>3.12</v>
      </c>
      <c r="F142" s="319">
        <f t="shared" si="54"/>
        <v>3.9</v>
      </c>
      <c r="G142" s="255" t="s">
        <v>663</v>
      </c>
      <c r="H142" s="379"/>
      <c r="I142" s="377">
        <f t="shared" si="36"/>
        <v>2.34</v>
      </c>
      <c r="J142" s="377"/>
      <c r="K142" s="377">
        <f t="shared" si="37"/>
        <v>3.12</v>
      </c>
      <c r="L142" s="310">
        <v>3.9</v>
      </c>
      <c r="M142" s="400"/>
    </row>
    <row r="143" spans="1:13" s="260" customFormat="1">
      <c r="A143" s="244" t="s">
        <v>204</v>
      </c>
      <c r="B143" s="384">
        <v>5.335</v>
      </c>
      <c r="C143" s="297">
        <v>0.75</v>
      </c>
      <c r="D143" s="317">
        <f t="shared" ref="D143" si="56">I143</f>
        <v>5.58</v>
      </c>
      <c r="E143" s="318">
        <f t="shared" ref="E143" si="57">K143</f>
        <v>7.44</v>
      </c>
      <c r="F143" s="319">
        <f t="shared" ref="F143" si="58">L143</f>
        <v>9.3000000000000007</v>
      </c>
      <c r="G143" s="255" t="e">
        <f>VLOOKUP(A143,'mat order'!$A$15:$E$132,2,)</f>
        <v>#N/A</v>
      </c>
      <c r="H143" s="379"/>
      <c r="I143" s="377">
        <f t="shared" ref="I143" si="59">L143-L143*$H$3</f>
        <v>5.58</v>
      </c>
      <c r="J143" s="377"/>
      <c r="K143" s="377">
        <f t="shared" ref="K143" si="60">L143-L143*$J$3</f>
        <v>7.44</v>
      </c>
      <c r="L143" s="310">
        <f t="shared" ref="L143" si="61">IF(M143&gt;0,M143,ROUND(B143+(B143*C143),1))</f>
        <v>9.3000000000000007</v>
      </c>
      <c r="M143" s="400"/>
    </row>
    <row r="144" spans="1:13" s="260" customFormat="1">
      <c r="A144" s="244" t="s">
        <v>208</v>
      </c>
      <c r="B144" s="384">
        <v>0.08</v>
      </c>
      <c r="C144" s="297">
        <v>0.75</v>
      </c>
      <c r="D144" s="317">
        <f t="shared" si="55"/>
        <v>0.06</v>
      </c>
      <c r="E144" s="318">
        <f t="shared" si="53"/>
        <v>0.08</v>
      </c>
      <c r="F144" s="319">
        <f t="shared" si="54"/>
        <v>0.1</v>
      </c>
      <c r="G144" s="403" t="s">
        <v>639</v>
      </c>
      <c r="H144" s="379"/>
      <c r="I144" s="377">
        <f>L144-L144*$H$3</f>
        <v>0.06</v>
      </c>
      <c r="J144" s="377"/>
      <c r="K144" s="377">
        <f t="shared" si="37"/>
        <v>0.08</v>
      </c>
      <c r="L144" s="310">
        <f t="shared" si="38"/>
        <v>0.1</v>
      </c>
      <c r="M144" s="400"/>
    </row>
    <row r="145" spans="1:13">
      <c r="A145" s="247" t="s">
        <v>216</v>
      </c>
      <c r="B145" s="384">
        <v>6</v>
      </c>
      <c r="C145" s="297">
        <v>0.75</v>
      </c>
      <c r="D145" s="317">
        <f t="shared" ref="D145" si="62">I145</f>
        <v>6.3</v>
      </c>
      <c r="E145" s="318">
        <f t="shared" ref="E145" si="63">K145</f>
        <v>8.4</v>
      </c>
      <c r="F145" s="319">
        <f t="shared" ref="F145" si="64">L145</f>
        <v>10.5</v>
      </c>
      <c r="G145" s="403" t="s">
        <v>638</v>
      </c>
      <c r="H145" s="379"/>
      <c r="I145" s="377">
        <f t="shared" si="36"/>
        <v>6.3</v>
      </c>
      <c r="J145" s="377"/>
      <c r="K145" s="377">
        <f t="shared" si="37"/>
        <v>8.4</v>
      </c>
      <c r="L145" s="310">
        <f t="shared" si="38"/>
        <v>10.5</v>
      </c>
    </row>
    <row r="146" spans="1:13">
      <c r="A146" s="53" t="s">
        <v>228</v>
      </c>
      <c r="B146" s="384">
        <v>4.5599999999999996</v>
      </c>
      <c r="C146" s="297">
        <v>0.75</v>
      </c>
      <c r="D146" s="317">
        <f t="shared" si="55"/>
        <v>13.2</v>
      </c>
      <c r="E146" s="318">
        <f t="shared" si="53"/>
        <v>17.600000000000001</v>
      </c>
      <c r="F146" s="319">
        <f t="shared" si="54"/>
        <v>22</v>
      </c>
      <c r="G146" s="255" t="s">
        <v>661</v>
      </c>
      <c r="H146" s="379"/>
      <c r="I146" s="377">
        <f t="shared" ref="I146:I148" si="65">L146-L146*$H$3</f>
        <v>13.2</v>
      </c>
      <c r="J146" s="377"/>
      <c r="K146" s="377">
        <f t="shared" ref="K146:K148" si="66">L146-L146*$J$3</f>
        <v>17.600000000000001</v>
      </c>
      <c r="L146" s="310">
        <v>22</v>
      </c>
    </row>
    <row r="147" spans="1:13">
      <c r="A147" s="247" t="s">
        <v>512</v>
      </c>
      <c r="B147" s="386">
        <v>5.7</v>
      </c>
      <c r="C147" s="297">
        <v>0.75</v>
      </c>
      <c r="D147" s="317">
        <f t="shared" si="55"/>
        <v>16.002000000000002</v>
      </c>
      <c r="E147" s="318">
        <f t="shared" si="53"/>
        <v>21.336000000000002</v>
      </c>
      <c r="F147" s="319">
        <f t="shared" si="54"/>
        <v>26.67</v>
      </c>
      <c r="G147" s="255" t="s">
        <v>662</v>
      </c>
      <c r="H147" s="379"/>
      <c r="I147" s="377">
        <f t="shared" si="65"/>
        <v>16.002000000000002</v>
      </c>
      <c r="J147" s="377"/>
      <c r="K147" s="377">
        <f t="shared" si="66"/>
        <v>21.336000000000002</v>
      </c>
      <c r="L147" s="310">
        <v>26.67</v>
      </c>
    </row>
    <row r="148" spans="1:13">
      <c r="A148" s="247" t="s">
        <v>513</v>
      </c>
      <c r="B148" s="386">
        <v>1.04</v>
      </c>
      <c r="C148" s="297">
        <v>0.75</v>
      </c>
      <c r="D148" s="317">
        <f t="shared" si="55"/>
        <v>1.08</v>
      </c>
      <c r="E148" s="318">
        <f t="shared" si="53"/>
        <v>1.44</v>
      </c>
      <c r="F148" s="319">
        <f t="shared" si="54"/>
        <v>1.8</v>
      </c>
      <c r="G148" s="255" t="str">
        <f>VLOOKUP(A148,'mat order'!$A$15:$E$132,2,)</f>
        <v>ISI Pens -Burgandy w/ bands w/ website</v>
      </c>
      <c r="H148" s="379"/>
      <c r="I148" s="377">
        <f t="shared" si="65"/>
        <v>1.08</v>
      </c>
      <c r="J148" s="377"/>
      <c r="K148" s="377">
        <f t="shared" si="66"/>
        <v>1.44</v>
      </c>
      <c r="L148" s="310">
        <f t="shared" ref="L148" si="67">IF(M148&gt;0,M148,ROUND(B148+(B148*C148),1))</f>
        <v>1.8</v>
      </c>
    </row>
    <row r="149" spans="1:13" s="261" customFormat="1">
      <c r="A149" s="244" t="s">
        <v>535</v>
      </c>
      <c r="B149" s="384"/>
      <c r="C149" s="297"/>
      <c r="D149" s="317" t="s">
        <v>140</v>
      </c>
      <c r="E149" s="318">
        <f t="shared" ref="E149:E155" si="68">K149</f>
        <v>0</v>
      </c>
      <c r="F149" s="319">
        <f t="shared" ref="F149:F155" si="69">L149</f>
        <v>0</v>
      </c>
      <c r="G149" s="149" t="e">
        <f>VLOOKUP(A149,'mat order'!$A$14:$E$132,2,)</f>
        <v>#N/A</v>
      </c>
      <c r="H149" s="149"/>
      <c r="I149" s="264"/>
      <c r="J149" s="264"/>
      <c r="K149" s="264"/>
      <c r="L149" s="310"/>
      <c r="M149" s="399"/>
    </row>
    <row r="150" spans="1:13" s="261" customFormat="1">
      <c r="A150" s="244" t="s">
        <v>536</v>
      </c>
      <c r="B150" s="384"/>
      <c r="C150" s="297"/>
      <c r="D150" s="317" t="s">
        <v>140</v>
      </c>
      <c r="E150" s="318">
        <f t="shared" si="68"/>
        <v>0</v>
      </c>
      <c r="F150" s="319">
        <f t="shared" si="69"/>
        <v>0</v>
      </c>
      <c r="G150" s="149" t="e">
        <f>VLOOKUP(A150,'mat order'!$A$14:$E$132,2,)</f>
        <v>#N/A</v>
      </c>
      <c r="H150" s="149"/>
      <c r="I150" s="264"/>
      <c r="J150" s="264"/>
      <c r="K150" s="264"/>
      <c r="L150" s="310"/>
      <c r="M150" s="399"/>
    </row>
    <row r="151" spans="1:13" s="261" customFormat="1">
      <c r="A151" s="244" t="s">
        <v>537</v>
      </c>
      <c r="B151" s="384"/>
      <c r="C151" s="297"/>
      <c r="D151" s="317" t="s">
        <v>140</v>
      </c>
      <c r="E151" s="318">
        <f t="shared" si="68"/>
        <v>0</v>
      </c>
      <c r="F151" s="319">
        <f t="shared" si="69"/>
        <v>0</v>
      </c>
      <c r="G151" s="149" t="e">
        <f>VLOOKUP(A151,'mat order'!$A$14:$E$132,2,)</f>
        <v>#N/A</v>
      </c>
      <c r="H151" s="149"/>
      <c r="I151" s="264"/>
      <c r="J151" s="264"/>
      <c r="K151" s="264"/>
      <c r="L151" s="310"/>
      <c r="M151" s="399"/>
    </row>
    <row r="152" spans="1:13" s="261" customFormat="1">
      <c r="A152" s="244" t="s">
        <v>538</v>
      </c>
      <c r="B152" s="384"/>
      <c r="C152" s="297"/>
      <c r="D152" s="317" t="s">
        <v>140</v>
      </c>
      <c r="E152" s="318">
        <f t="shared" si="68"/>
        <v>0</v>
      </c>
      <c r="F152" s="319">
        <f t="shared" si="69"/>
        <v>0</v>
      </c>
      <c r="G152" s="149" t="e">
        <f>VLOOKUP(A152,'mat order'!$A$14:$E$132,2,)</f>
        <v>#N/A</v>
      </c>
      <c r="H152" s="149"/>
      <c r="I152" s="264"/>
      <c r="J152" s="264"/>
      <c r="K152" s="264"/>
      <c r="L152" s="310"/>
      <c r="M152" s="399"/>
    </row>
    <row r="153" spans="1:13" s="261" customFormat="1">
      <c r="A153" s="244" t="s">
        <v>539</v>
      </c>
      <c r="B153" s="384"/>
      <c r="C153" s="297"/>
      <c r="D153" s="317" t="s">
        <v>140</v>
      </c>
      <c r="E153" s="318">
        <f t="shared" si="68"/>
        <v>0</v>
      </c>
      <c r="F153" s="319">
        <f t="shared" si="69"/>
        <v>0</v>
      </c>
      <c r="G153" s="149" t="e">
        <f>VLOOKUP(A153,'mat order'!$A$14:$E$132,2,)</f>
        <v>#N/A</v>
      </c>
      <c r="H153" s="149"/>
      <c r="I153" s="264"/>
      <c r="J153" s="264"/>
      <c r="K153" s="264"/>
      <c r="L153" s="310"/>
      <c r="M153" s="399"/>
    </row>
    <row r="154" spans="1:13" s="261" customFormat="1">
      <c r="A154" s="244" t="s">
        <v>540</v>
      </c>
      <c r="B154" s="384"/>
      <c r="C154" s="297"/>
      <c r="D154" s="317" t="s">
        <v>140</v>
      </c>
      <c r="E154" s="318">
        <f t="shared" si="68"/>
        <v>0</v>
      </c>
      <c r="F154" s="319">
        <f t="shared" si="69"/>
        <v>0</v>
      </c>
      <c r="G154" s="149" t="e">
        <f>VLOOKUP(A154,'mat order'!$A$14:$E$132,2,)</f>
        <v>#N/A</v>
      </c>
      <c r="H154" s="149"/>
      <c r="I154" s="264"/>
      <c r="J154" s="264"/>
      <c r="K154" s="264"/>
      <c r="L154" s="310"/>
      <c r="M154" s="399"/>
    </row>
    <row r="155" spans="1:13" s="261" customFormat="1">
      <c r="A155" s="244" t="s">
        <v>541</v>
      </c>
      <c r="B155" s="384"/>
      <c r="C155" s="297"/>
      <c r="D155" s="317" t="s">
        <v>140</v>
      </c>
      <c r="E155" s="318">
        <f t="shared" si="68"/>
        <v>0</v>
      </c>
      <c r="F155" s="319">
        <f t="shared" si="69"/>
        <v>0</v>
      </c>
      <c r="G155" s="149" t="e">
        <f>VLOOKUP(A155,'mat order'!$A$14:$E$132,2,)</f>
        <v>#N/A</v>
      </c>
      <c r="H155" s="149"/>
      <c r="I155" s="264"/>
      <c r="J155" s="264"/>
      <c r="K155" s="264"/>
      <c r="L155" s="310"/>
      <c r="M155" s="399"/>
    </row>
    <row r="156" spans="1:13" s="261" customFormat="1">
      <c r="A156" s="269"/>
      <c r="B156" s="387"/>
      <c r="C156" s="298"/>
      <c r="D156" s="321"/>
      <c r="E156" s="322"/>
      <c r="F156" s="323"/>
      <c r="I156" s="264"/>
      <c r="J156" s="264"/>
      <c r="K156" s="264"/>
      <c r="L156" s="310"/>
      <c r="M156" s="399"/>
    </row>
    <row r="157" spans="1:13" s="266" customFormat="1">
      <c r="A157" s="265" t="s">
        <v>534</v>
      </c>
      <c r="B157" s="388">
        <f>(SUM(B4:B148))</f>
        <v>552.54000000000019</v>
      </c>
      <c r="C157" s="299"/>
      <c r="D157" s="324">
        <f>(SUM(D4:D148))</f>
        <v>430.40200000000038</v>
      </c>
      <c r="E157" s="324">
        <f>(SUM(E4:E148))</f>
        <v>648.57599999999991</v>
      </c>
      <c r="F157" s="324">
        <v>786.67000000000007</v>
      </c>
      <c r="I157" s="267"/>
      <c r="J157" s="267"/>
      <c r="K157" s="267"/>
      <c r="L157" s="324"/>
      <c r="M157" s="401"/>
    </row>
    <row r="158" spans="1:13">
      <c r="A158" s="16"/>
      <c r="B158" s="389"/>
      <c r="C158" s="300"/>
      <c r="D158" s="325"/>
      <c r="I158" s="208"/>
      <c r="J158" s="208"/>
    </row>
    <row r="159" spans="1:13">
      <c r="A159" s="16"/>
      <c r="B159" s="389"/>
      <c r="C159" s="300"/>
      <c r="D159" s="325"/>
      <c r="I159" s="208"/>
      <c r="J159" s="208"/>
    </row>
    <row r="160" spans="1:13">
      <c r="A160" s="16"/>
      <c r="B160" s="389"/>
      <c r="C160" s="300"/>
      <c r="D160" s="325"/>
    </row>
    <row r="161" spans="1:6">
      <c r="A161" s="16"/>
      <c r="B161" s="389"/>
      <c r="C161" s="300"/>
      <c r="D161" s="325"/>
    </row>
    <row r="162" spans="1:6">
      <c r="A162" s="16"/>
      <c r="B162" s="389"/>
      <c r="C162" s="300"/>
      <c r="D162" s="325"/>
    </row>
    <row r="163" spans="1:6">
      <c r="A163" s="16"/>
      <c r="B163" s="389"/>
      <c r="C163" s="300"/>
      <c r="D163" s="325"/>
    </row>
    <row r="164" spans="1:6">
      <c r="A164" s="150"/>
      <c r="B164" s="390"/>
      <c r="C164" s="301"/>
      <c r="D164" s="326"/>
      <c r="E164" s="327"/>
      <c r="F164" s="327"/>
    </row>
    <row r="165" spans="1:6">
      <c r="A165" s="150"/>
      <c r="B165" s="390"/>
      <c r="C165" s="301"/>
      <c r="D165" s="328"/>
      <c r="E165" s="327"/>
      <c r="F165" s="327"/>
    </row>
    <row r="166" spans="1:6">
      <c r="A166" s="152"/>
      <c r="B166" s="391"/>
      <c r="C166" s="302"/>
      <c r="D166" s="326"/>
      <c r="E166" s="327"/>
      <c r="F166" s="327"/>
    </row>
    <row r="167" spans="1:6">
      <c r="A167" s="153"/>
      <c r="B167" s="392"/>
      <c r="C167" s="303"/>
      <c r="D167" s="326"/>
      <c r="E167" s="327"/>
      <c r="F167" s="327"/>
    </row>
    <row r="168" spans="1:6">
      <c r="A168" s="154"/>
      <c r="B168" s="393"/>
      <c r="C168" s="304"/>
      <c r="D168" s="326"/>
      <c r="E168" s="327"/>
      <c r="F168" s="327"/>
    </row>
    <row r="169" spans="1:6">
      <c r="A169" s="151"/>
      <c r="B169" s="394"/>
      <c r="C169" s="305"/>
      <c r="D169" s="329"/>
      <c r="E169" s="327"/>
      <c r="F169" s="327"/>
    </row>
    <row r="170" spans="1:6">
      <c r="A170" s="155"/>
      <c r="B170" s="389"/>
      <c r="C170" s="306"/>
      <c r="D170" s="330"/>
      <c r="E170" s="327"/>
      <c r="F170" s="327"/>
    </row>
    <row r="171" spans="1:6">
      <c r="A171" s="151"/>
      <c r="B171" s="394"/>
      <c r="C171" s="305"/>
      <c r="D171" s="328"/>
      <c r="E171" s="327"/>
      <c r="F171" s="327"/>
    </row>
    <row r="172" spans="1:6">
      <c r="A172" s="151"/>
      <c r="B172" s="394"/>
      <c r="C172" s="305"/>
      <c r="D172" s="328"/>
      <c r="E172" s="327"/>
      <c r="F172" s="327"/>
    </row>
    <row r="173" spans="1:6">
      <c r="A173" s="98"/>
      <c r="B173" s="395"/>
      <c r="C173" s="307"/>
      <c r="D173" s="331"/>
    </row>
    <row r="174" spans="1:6">
      <c r="A174" s="41"/>
      <c r="B174" s="396"/>
      <c r="C174" s="308"/>
      <c r="D174" s="332"/>
    </row>
  </sheetData>
  <mergeCells count="1">
    <mergeCell ref="I1:L1"/>
  </mergeCells>
  <phoneticPr fontId="1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0"/>
  <sheetViews>
    <sheetView view="pageBreakPreview" zoomScaleNormal="100" workbookViewId="0">
      <selection sqref="A1:H1"/>
    </sheetView>
  </sheetViews>
  <sheetFormatPr defaultColWidth="9.140625" defaultRowHeight="12.75"/>
  <cols>
    <col min="1" max="1" width="8.42578125" style="9" customWidth="1"/>
    <col min="2" max="3" width="8.7109375" style="9" customWidth="1"/>
    <col min="4" max="4" width="23" style="9" customWidth="1"/>
    <col min="5" max="6" width="11.7109375" style="9" customWidth="1"/>
    <col min="7" max="7" width="9.5703125" style="9" customWidth="1"/>
    <col min="8" max="8" width="14.140625" style="9" customWidth="1"/>
    <col min="9" max="9" width="3.85546875" style="113" customWidth="1"/>
    <col min="10" max="11" width="9.140625" style="9" hidden="1" customWidth="1"/>
    <col min="12" max="12" width="10.5703125" style="9" customWidth="1"/>
    <col min="13" max="14" width="9.140625" style="9"/>
    <col min="15" max="15" width="9.140625" style="115"/>
    <col min="16" max="16384" width="9.140625" style="9"/>
  </cols>
  <sheetData>
    <row r="1" spans="1:15" ht="12" customHeight="1">
      <c r="A1" s="614" t="s">
        <v>20</v>
      </c>
      <c r="B1" s="615"/>
      <c r="C1" s="615"/>
      <c r="D1" s="615"/>
      <c r="E1" s="615"/>
      <c r="F1" s="615"/>
      <c r="G1" s="615"/>
      <c r="H1" s="616"/>
      <c r="I1" s="120"/>
      <c r="J1" s="7"/>
      <c r="K1" s="8"/>
    </row>
    <row r="2" spans="1:15" ht="12" customHeight="1">
      <c r="A2" s="617" t="str">
        <f>IF(H9="fld","Staff Price List/Order Form",IF(H9="aff","Affiliate Price List/Order Form","Retail Price List/Order Form"))</f>
        <v>Staff Price List/Order Form</v>
      </c>
      <c r="B2" s="618"/>
      <c r="C2" s="618"/>
      <c r="D2" s="618"/>
      <c r="E2" s="618"/>
      <c r="F2" s="618"/>
      <c r="G2" s="618"/>
      <c r="H2" s="619"/>
      <c r="I2" s="121"/>
      <c r="J2" s="11"/>
      <c r="K2" s="12"/>
    </row>
    <row r="3" spans="1:15" ht="12" customHeight="1">
      <c r="A3" s="13"/>
      <c r="B3" s="13"/>
      <c r="C3" s="13"/>
      <c r="D3" s="13"/>
      <c r="E3" s="13"/>
      <c r="F3" s="13"/>
      <c r="G3" s="13"/>
      <c r="H3" s="13"/>
      <c r="I3" s="121"/>
      <c r="J3" s="11"/>
      <c r="K3" s="10"/>
    </row>
    <row r="4" spans="1:15" ht="12" customHeight="1">
      <c r="A4" s="102" t="s">
        <v>324</v>
      </c>
      <c r="B4" s="129"/>
      <c r="C4" s="620">
        <f>'mat order'!C4:E4</f>
        <v>0</v>
      </c>
      <c r="D4" s="533"/>
      <c r="E4" s="534"/>
      <c r="F4" s="133" t="s">
        <v>325</v>
      </c>
      <c r="G4" s="548">
        <f>'mat order'!G6:J6</f>
        <v>0</v>
      </c>
      <c r="H4" s="621"/>
      <c r="I4" s="121"/>
      <c r="J4" s="11"/>
      <c r="K4" s="10"/>
    </row>
    <row r="5" spans="1:15" s="17" customFormat="1" ht="12" customHeight="1">
      <c r="A5" s="14" t="s">
        <v>327</v>
      </c>
      <c r="B5" s="128"/>
      <c r="C5" s="622">
        <f>'mat order'!C7:E7</f>
        <v>0</v>
      </c>
      <c r="D5" s="533"/>
      <c r="E5" s="534"/>
      <c r="F5" s="133" t="str">
        <f>IF(H9="fld","Account shipped to:","Paid by:")</f>
        <v>Account shipped to:</v>
      </c>
      <c r="G5" s="1">
        <f>'mat order'!G8</f>
        <v>0</v>
      </c>
      <c r="H5" s="99"/>
      <c r="I5" s="121"/>
      <c r="J5" s="11"/>
      <c r="K5" s="15"/>
      <c r="L5" s="16"/>
      <c r="O5" s="116"/>
    </row>
    <row r="6" spans="1:15" s="19" customFormat="1" ht="12" customHeight="1">
      <c r="A6" s="19" t="s">
        <v>326</v>
      </c>
      <c r="B6" s="524">
        <f>'mat order'!B5:E5</f>
        <v>0</v>
      </c>
      <c r="C6" s="533"/>
      <c r="D6" s="533"/>
      <c r="E6" s="534"/>
      <c r="F6" s="132" t="str">
        <f>IF(H9="fld","Acct Charged:"," ")</f>
        <v>Acct Charged:</v>
      </c>
      <c r="G6" s="131" t="str">
        <f>IF(H9="fld"," ","Exp.")</f>
        <v xml:space="preserve"> </v>
      </c>
      <c r="H6" s="99"/>
      <c r="I6" s="121"/>
      <c r="J6" s="11"/>
      <c r="K6" s="18"/>
      <c r="O6" s="117"/>
    </row>
    <row r="7" spans="1:15" s="19" customFormat="1" ht="12" customHeight="1">
      <c r="A7" s="14" t="s">
        <v>23</v>
      </c>
      <c r="B7" s="524">
        <f>'mat order'!B8:E8</f>
        <v>0</v>
      </c>
      <c r="C7" s="533"/>
      <c r="D7" s="533"/>
      <c r="E7" s="533"/>
      <c r="F7" s="533"/>
      <c r="G7" s="130"/>
      <c r="H7" s="99"/>
      <c r="I7" s="121"/>
      <c r="J7" s="11"/>
      <c r="K7" s="18"/>
      <c r="O7" s="117"/>
    </row>
    <row r="8" spans="1:15" s="19" customFormat="1" ht="12" customHeight="1">
      <c r="A8" s="14" t="s">
        <v>25</v>
      </c>
      <c r="B8" s="524">
        <f>'mat order'!B10:E10</f>
        <v>0</v>
      </c>
      <c r="C8" s="535"/>
      <c r="D8" s="535"/>
      <c r="E8" s="535"/>
      <c r="F8" s="623" t="s">
        <v>328</v>
      </c>
      <c r="G8" s="623"/>
      <c r="H8" s="101"/>
      <c r="I8" s="121"/>
      <c r="J8" s="20"/>
      <c r="K8" s="15"/>
      <c r="O8" s="117"/>
    </row>
    <row r="9" spans="1:15" s="19" customFormat="1" ht="12" customHeight="1">
      <c r="A9" s="21" t="s">
        <v>24</v>
      </c>
      <c r="B9" s="4">
        <f>'mat order'!B11</f>
        <v>0</v>
      </c>
      <c r="C9" s="21" t="s">
        <v>26</v>
      </c>
      <c r="D9" s="126">
        <f>'mat order'!D11</f>
        <v>0</v>
      </c>
      <c r="E9" s="19" t="s">
        <v>224</v>
      </c>
      <c r="F9" s="137">
        <f ca="1">TODAY()</f>
        <v>43510</v>
      </c>
      <c r="G9" s="22" t="s">
        <v>282</v>
      </c>
      <c r="H9" s="3" t="str">
        <f>'mat order'!J11</f>
        <v>fld</v>
      </c>
      <c r="I9" s="121"/>
      <c r="J9" s="11"/>
      <c r="K9" s="15"/>
      <c r="O9" s="117"/>
    </row>
    <row r="10" spans="1:15" s="19" customFormat="1" ht="12" customHeight="1">
      <c r="A10" s="23"/>
      <c r="B10" s="2"/>
      <c r="C10" s="23"/>
      <c r="D10" s="2"/>
      <c r="E10" s="2"/>
      <c r="F10" s="24"/>
      <c r="G10" s="24"/>
      <c r="H10" s="25"/>
      <c r="I10" s="121"/>
      <c r="J10" s="10"/>
      <c r="K10" s="15"/>
      <c r="O10" s="117"/>
    </row>
    <row r="11" spans="1:15" s="33" customFormat="1" ht="45">
      <c r="A11" s="26" t="s">
        <v>21</v>
      </c>
      <c r="B11" s="27" t="s">
        <v>141</v>
      </c>
      <c r="C11" s="28"/>
      <c r="D11" s="28"/>
      <c r="E11" s="29"/>
      <c r="F11" s="30" t="s">
        <v>142</v>
      </c>
      <c r="G11" s="31" t="s">
        <v>225</v>
      </c>
      <c r="H11" s="32" t="s">
        <v>22</v>
      </c>
      <c r="I11" s="122" t="s">
        <v>323</v>
      </c>
      <c r="L11" s="34">
        <v>0.15</v>
      </c>
      <c r="M11" s="34">
        <v>0.25</v>
      </c>
      <c r="N11" s="34">
        <v>0.3</v>
      </c>
      <c r="O11" s="118" t="s">
        <v>22</v>
      </c>
    </row>
    <row r="12" spans="1:15" s="19" customFormat="1" ht="12" customHeight="1">
      <c r="A12" s="35" t="s">
        <v>0</v>
      </c>
      <c r="B12" s="36" t="s">
        <v>1</v>
      </c>
      <c r="C12" s="37"/>
      <c r="D12" s="37"/>
      <c r="E12" s="20"/>
      <c r="F12" s="39">
        <f>IF($H$9="fld",VLOOKUP(A12,'price sheet'!$A$3:$F$162,2,FALSE),IF($H$9="ret",VLOOKUP(A12,'price sheet'!$A$3:$F$162,3,FALSE),IF($H$9="afl",VLOOKUP(A12,'price sheet'!$A$3:$F$162,4,FALSE),VLOOKUP(A12,'price sheet'!$A$3:$F$162,3,FALSE))))</f>
        <v>4</v>
      </c>
      <c r="G12" s="5"/>
      <c r="H12" s="40">
        <f>F12*G12</f>
        <v>0</v>
      </c>
      <c r="I12" s="123"/>
      <c r="J12" s="41"/>
      <c r="K12" s="41"/>
      <c r="L12" s="19">
        <f>IF($H$9="ret",IF(G12&gt;9,H12*15%,0),0)</f>
        <v>0</v>
      </c>
      <c r="M12" s="19">
        <f>IF($H$9="ret",IF(G12&gt;50,H12*10%,0),0)</f>
        <v>0</v>
      </c>
      <c r="N12" s="19">
        <f>IF($H$9="ret",IF(G12&gt;100,H12*5%,0),0)</f>
        <v>0</v>
      </c>
      <c r="O12" s="117">
        <f t="shared" ref="O12:O21" si="0">IF($H$9="fld",IF(I12&gt;0,H12*$G$205,0),SUM(L12:N12))</f>
        <v>0</v>
      </c>
    </row>
    <row r="13" spans="1:15" s="19" customFormat="1" ht="12" customHeight="1">
      <c r="A13" s="35" t="s">
        <v>2</v>
      </c>
      <c r="B13" s="36" t="s">
        <v>3</v>
      </c>
      <c r="C13" s="37"/>
      <c r="D13" s="37"/>
      <c r="E13" s="20"/>
      <c r="F13" s="39">
        <f>IF($H$9="fld",VLOOKUP(A13,'price sheet'!$A$3:$F$162,2,FALSE),IF($H$9="ret",VLOOKUP(A13,'price sheet'!$A$3:$F$162,3,FALSE),IF($H$9="afl",VLOOKUP(A13,'price sheet'!$A$3:$F$162,4,FALSE),VLOOKUP(A13,'price sheet'!$A$3:$F$162,3,FALSE))))</f>
        <v>4</v>
      </c>
      <c r="G13" s="5"/>
      <c r="H13" s="40">
        <f t="shared" ref="H13:H21" si="1">F13*G13</f>
        <v>0</v>
      </c>
      <c r="I13" s="123"/>
      <c r="J13" s="41"/>
      <c r="K13" s="41"/>
      <c r="L13" s="19">
        <f t="shared" ref="L13:L21" si="2">IF($H$9="ret",IF(G13&gt;9,H13*15%,0),0)</f>
        <v>0</v>
      </c>
      <c r="M13" s="19">
        <f t="shared" ref="M13:M21" si="3">IF($H$9="ret",IF(G13&gt;50,H13*10%,0),0)</f>
        <v>0</v>
      </c>
      <c r="N13" s="19">
        <f t="shared" ref="N13:N21" si="4">IF($H$9="ret",IF(G13&gt;100,H13*5%,0),0)</f>
        <v>0</v>
      </c>
      <c r="O13" s="117">
        <f t="shared" si="0"/>
        <v>0</v>
      </c>
    </row>
    <row r="14" spans="1:15" s="41" customFormat="1" ht="12" customHeight="1">
      <c r="A14" s="35" t="s">
        <v>4</v>
      </c>
      <c r="B14" s="36" t="s">
        <v>5</v>
      </c>
      <c r="C14" s="37"/>
      <c r="D14" s="37"/>
      <c r="E14" s="38"/>
      <c r="F14" s="39">
        <f>IF($H$9="fld",VLOOKUP(A14,'price sheet'!$A$3:$F$162,2,FALSE),IF($H$9="ret",VLOOKUP(A14,'price sheet'!$A$3:$F$162,3,FALSE),IF($H$9="afl",VLOOKUP(A14,'price sheet'!$A$3:$F$162,4,FALSE),VLOOKUP(A14,'price sheet'!$A$3:$F$162,3,FALSE))))</f>
        <v>4</v>
      </c>
      <c r="G14" s="5"/>
      <c r="H14" s="40">
        <f t="shared" si="1"/>
        <v>0</v>
      </c>
      <c r="I14" s="123"/>
      <c r="L14" s="19">
        <f t="shared" si="2"/>
        <v>0</v>
      </c>
      <c r="M14" s="19">
        <f t="shared" si="3"/>
        <v>0</v>
      </c>
      <c r="N14" s="19">
        <f t="shared" si="4"/>
        <v>0</v>
      </c>
      <c r="O14" s="117">
        <f t="shared" si="0"/>
        <v>0</v>
      </c>
    </row>
    <row r="15" spans="1:15" s="41" customFormat="1" ht="12" customHeight="1">
      <c r="A15" s="35" t="s">
        <v>6</v>
      </c>
      <c r="B15" s="36" t="s">
        <v>7</v>
      </c>
      <c r="C15" s="37"/>
      <c r="D15" s="37"/>
      <c r="E15" s="38"/>
      <c r="F15" s="39">
        <f>IF($H$9="fld",VLOOKUP(A15,'price sheet'!$A$3:$F$162,2,FALSE),IF($H$9="ret",VLOOKUP(A15,'price sheet'!$A$3:$F$162,3,FALSE),IF($H$9="afl",VLOOKUP(A15,'price sheet'!$A$3:$F$162,4,FALSE),VLOOKUP(A15,'price sheet'!$A$3:$F$162,3,FALSE))))</f>
        <v>4</v>
      </c>
      <c r="G15" s="5"/>
      <c r="H15" s="40">
        <f t="shared" si="1"/>
        <v>0</v>
      </c>
      <c r="I15" s="123"/>
      <c r="L15" s="19">
        <f t="shared" si="2"/>
        <v>0</v>
      </c>
      <c r="M15" s="19">
        <f t="shared" si="3"/>
        <v>0</v>
      </c>
      <c r="N15" s="19">
        <f t="shared" si="4"/>
        <v>0</v>
      </c>
      <c r="O15" s="117">
        <f t="shared" si="0"/>
        <v>0</v>
      </c>
    </row>
    <row r="16" spans="1:15" s="41" customFormat="1" ht="12" customHeight="1">
      <c r="A16" s="35" t="s">
        <v>8</v>
      </c>
      <c r="B16" s="36" t="s">
        <v>9</v>
      </c>
      <c r="C16" s="37"/>
      <c r="D16" s="37"/>
      <c r="E16" s="38"/>
      <c r="F16" s="39">
        <f>IF($H$9="fld",VLOOKUP(A16,'price sheet'!$A$3:$F$162,2,FALSE),IF($H$9="ret",VLOOKUP(A16,'price sheet'!$A$3:$F$162,3,FALSE),IF($H$9="afl",VLOOKUP(A16,'price sheet'!$A$3:$F$162,4,FALSE),VLOOKUP(A16,'price sheet'!$A$3:$F$162,3,FALSE))))</f>
        <v>4</v>
      </c>
      <c r="G16" s="5"/>
      <c r="H16" s="40">
        <f t="shared" si="1"/>
        <v>0</v>
      </c>
      <c r="I16" s="123"/>
      <c r="L16" s="19">
        <f t="shared" si="2"/>
        <v>0</v>
      </c>
      <c r="M16" s="19">
        <f t="shared" si="3"/>
        <v>0</v>
      </c>
      <c r="N16" s="19">
        <f t="shared" si="4"/>
        <v>0</v>
      </c>
      <c r="O16" s="117">
        <f t="shared" si="0"/>
        <v>0</v>
      </c>
    </row>
    <row r="17" spans="1:15" s="41" customFormat="1" ht="12" customHeight="1">
      <c r="A17" s="35" t="s">
        <v>10</v>
      </c>
      <c r="B17" s="36" t="s">
        <v>11</v>
      </c>
      <c r="C17" s="37"/>
      <c r="D17" s="37"/>
      <c r="E17" s="38"/>
      <c r="F17" s="39">
        <f>IF($H$9="fld",VLOOKUP(A17,'price sheet'!$A$3:$F$162,2,FALSE),IF($H$9="ret",VLOOKUP(A17,'price sheet'!$A$3:$F$162,3,FALSE),IF($H$9="afl",VLOOKUP(A17,'price sheet'!$A$3:$F$162,4,FALSE),VLOOKUP(A17,'price sheet'!$A$3:$F$162,3,FALSE))))</f>
        <v>4</v>
      </c>
      <c r="G17" s="5"/>
      <c r="H17" s="40">
        <f t="shared" si="1"/>
        <v>0</v>
      </c>
      <c r="I17" s="123"/>
      <c r="L17" s="19">
        <f t="shared" si="2"/>
        <v>0</v>
      </c>
      <c r="M17" s="19">
        <f t="shared" si="3"/>
        <v>0</v>
      </c>
      <c r="N17" s="19">
        <f t="shared" si="4"/>
        <v>0</v>
      </c>
      <c r="O17" s="117">
        <f t="shared" si="0"/>
        <v>0</v>
      </c>
    </row>
    <row r="18" spans="1:15" s="41" customFormat="1" ht="12" customHeight="1">
      <c r="A18" s="35" t="s">
        <v>12</v>
      </c>
      <c r="B18" s="36" t="s">
        <v>13</v>
      </c>
      <c r="C18" s="37"/>
      <c r="D18" s="37"/>
      <c r="E18" s="38"/>
      <c r="F18" s="39">
        <f>IF($H$9="fld",VLOOKUP(A18,'price sheet'!$A$3:$F$162,2,FALSE),IF($H$9="ret",VLOOKUP(A18,'price sheet'!$A$3:$F$162,3,FALSE),IF($H$9="afl",VLOOKUP(A18,'price sheet'!$A$3:$F$162,4,FALSE),VLOOKUP(A18,'price sheet'!$A$3:$F$162,3,FALSE))))</f>
        <v>4</v>
      </c>
      <c r="G18" s="5"/>
      <c r="H18" s="40">
        <f t="shared" si="1"/>
        <v>0</v>
      </c>
      <c r="I18" s="123"/>
      <c r="L18" s="19">
        <f t="shared" si="2"/>
        <v>0</v>
      </c>
      <c r="M18" s="19">
        <f t="shared" si="3"/>
        <v>0</v>
      </c>
      <c r="N18" s="19">
        <f t="shared" si="4"/>
        <v>0</v>
      </c>
      <c r="O18" s="117">
        <f t="shared" si="0"/>
        <v>0</v>
      </c>
    </row>
    <row r="19" spans="1:15" s="41" customFormat="1" ht="12" customHeight="1">
      <c r="A19" s="35" t="s">
        <v>14</v>
      </c>
      <c r="B19" s="36" t="s">
        <v>15</v>
      </c>
      <c r="C19" s="37"/>
      <c r="D19" s="37"/>
      <c r="E19" s="38"/>
      <c r="F19" s="39">
        <f>IF($H$9="fld",VLOOKUP(A19,'price sheet'!$A$3:$F$162,2,FALSE),IF($H$9="ret",VLOOKUP(A19,'price sheet'!$A$3:$F$162,3,FALSE),IF($H$9="afl",VLOOKUP(A19,'price sheet'!$A$3:$F$162,4,FALSE),VLOOKUP(A19,'price sheet'!$A$3:$F$162,3,FALSE))))</f>
        <v>4</v>
      </c>
      <c r="G19" s="5"/>
      <c r="H19" s="40">
        <f t="shared" si="1"/>
        <v>0</v>
      </c>
      <c r="I19" s="123"/>
      <c r="L19" s="19">
        <f t="shared" si="2"/>
        <v>0</v>
      </c>
      <c r="M19" s="19">
        <f t="shared" si="3"/>
        <v>0</v>
      </c>
      <c r="N19" s="19">
        <f t="shared" si="4"/>
        <v>0</v>
      </c>
      <c r="O19" s="117">
        <f t="shared" si="0"/>
        <v>0</v>
      </c>
    </row>
    <row r="20" spans="1:15" s="41" customFormat="1" ht="12" customHeight="1">
      <c r="A20" s="35" t="s">
        <v>16</v>
      </c>
      <c r="B20" s="36" t="s">
        <v>17</v>
      </c>
      <c r="C20" s="37"/>
      <c r="D20" s="37"/>
      <c r="E20" s="38"/>
      <c r="F20" s="39">
        <f>IF($H$9="fld",VLOOKUP(A20,'price sheet'!$A$3:$F$162,2,FALSE),IF($H$9="ret",VLOOKUP(A20,'price sheet'!$A$3:$F$162,3,FALSE),IF($H$9="afl",VLOOKUP(A20,'price sheet'!$A$3:$F$162,4,FALSE),VLOOKUP(A20,'price sheet'!$A$3:$F$162,3,FALSE))))</f>
        <v>4</v>
      </c>
      <c r="G20" s="5"/>
      <c r="H20" s="40">
        <f t="shared" si="1"/>
        <v>0</v>
      </c>
      <c r="I20" s="123"/>
      <c r="L20" s="19">
        <f t="shared" si="2"/>
        <v>0</v>
      </c>
      <c r="M20" s="19">
        <f t="shared" si="3"/>
        <v>0</v>
      </c>
      <c r="N20" s="19">
        <f t="shared" si="4"/>
        <v>0</v>
      </c>
      <c r="O20" s="117">
        <f t="shared" si="0"/>
        <v>0</v>
      </c>
    </row>
    <row r="21" spans="1:15" s="41" customFormat="1" ht="12" customHeight="1">
      <c r="A21" s="35" t="s">
        <v>18</v>
      </c>
      <c r="B21" s="36" t="s">
        <v>19</v>
      </c>
      <c r="C21" s="37"/>
      <c r="D21" s="37"/>
      <c r="E21" s="38"/>
      <c r="F21" s="39">
        <f>IF($H$9="fld",VLOOKUP(A21,'price sheet'!$A$3:$F$162,2,FALSE),IF($H$9="ret",VLOOKUP(A21,'price sheet'!$A$3:$F$162,3,FALSE),IF($H$9="afl",VLOOKUP(A21,'price sheet'!$A$3:$F$162,4,FALSE),VLOOKUP(A21,'price sheet'!$A$3:$F$162,3,FALSE))))</f>
        <v>4</v>
      </c>
      <c r="G21" s="5"/>
      <c r="H21" s="40">
        <f t="shared" si="1"/>
        <v>0</v>
      </c>
      <c r="I21" s="123"/>
      <c r="L21" s="19">
        <f t="shared" si="2"/>
        <v>0</v>
      </c>
      <c r="M21" s="19">
        <f t="shared" si="3"/>
        <v>0</v>
      </c>
      <c r="N21" s="19">
        <f t="shared" si="4"/>
        <v>0</v>
      </c>
      <c r="O21" s="117">
        <f t="shared" si="0"/>
        <v>0</v>
      </c>
    </row>
    <row r="22" spans="1:15" s="19" customFormat="1" ht="12.75" customHeight="1">
      <c r="A22" s="142"/>
      <c r="B22" s="42"/>
      <c r="C22" s="43"/>
      <c r="D22" s="43"/>
      <c r="E22" s="103"/>
      <c r="F22" s="143"/>
      <c r="G22" s="44" t="s">
        <v>63</v>
      </c>
      <c r="H22" s="46">
        <f>SUM(H12:H21)</f>
        <v>0</v>
      </c>
      <c r="I22" s="124"/>
      <c r="O22" s="117"/>
    </row>
    <row r="23" spans="1:15" s="33" customFormat="1" ht="15">
      <c r="A23" s="47" t="s">
        <v>21</v>
      </c>
      <c r="B23" s="27" t="s">
        <v>27</v>
      </c>
      <c r="C23" s="28"/>
      <c r="D23" s="28"/>
      <c r="E23" s="29"/>
      <c r="F23" s="39" t="s">
        <v>142</v>
      </c>
      <c r="G23" s="47"/>
      <c r="H23" s="47"/>
      <c r="I23" s="112"/>
      <c r="L23" s="34">
        <v>0.15</v>
      </c>
      <c r="M23" s="34">
        <v>0.25</v>
      </c>
      <c r="N23" s="34">
        <v>0.3</v>
      </c>
      <c r="O23" s="118" t="s">
        <v>22</v>
      </c>
    </row>
    <row r="24" spans="1:15" s="41" customFormat="1" ht="12" customHeight="1">
      <c r="A24" s="35" t="s">
        <v>28</v>
      </c>
      <c r="B24" s="36" t="s">
        <v>29</v>
      </c>
      <c r="C24" s="37"/>
      <c r="D24" s="37"/>
      <c r="E24" s="38"/>
      <c r="F24" s="39">
        <f>IF($H$9="fld",VLOOKUP(A24,'price sheet'!$A$3:$F$162,2,FALSE),IF($H$9="ret",VLOOKUP(A24,'price sheet'!$A$3:$F$162,3,FALSE),IF($H$9="afl",VLOOKUP(A24,'price sheet'!$A$3:$F$162,4,FALSE),VLOOKUP(A24,'price sheet'!$A$3:$F$162,3,FALSE))))</f>
        <v>5.335</v>
      </c>
      <c r="G24" s="5"/>
      <c r="H24" s="40">
        <f t="shared" ref="H24:H34" si="5">F24*G24</f>
        <v>0</v>
      </c>
      <c r="I24" s="123"/>
      <c r="L24" s="19">
        <f t="shared" ref="L24:L34" si="6">IF($H$9="ret",IF(G24&gt;9,H24*15%,0),0)</f>
        <v>0</v>
      </c>
      <c r="M24" s="19">
        <f t="shared" ref="M24:M34" si="7">IF($H$9="ret",IF(G24&gt;50,H24*10%,0),0)</f>
        <v>0</v>
      </c>
      <c r="N24" s="19">
        <f t="shared" ref="N24:N34" si="8">IF($H$9="ret",IF(G24&gt;100,H24*5%,0),0)</f>
        <v>0</v>
      </c>
      <c r="O24" s="117">
        <f t="shared" ref="O24:O34" si="9">IF($H$9="fld",IF(I24&gt;0,H24*$G$205,0),SUM(L24:N24))</f>
        <v>0</v>
      </c>
    </row>
    <row r="25" spans="1:15" s="19" customFormat="1" ht="12" customHeight="1">
      <c r="A25" s="35" t="s">
        <v>30</v>
      </c>
      <c r="B25" s="36" t="s">
        <v>31</v>
      </c>
      <c r="C25" s="37"/>
      <c r="D25" s="37"/>
      <c r="E25" s="20"/>
      <c r="F25" s="39">
        <f>IF($H$9="fld",VLOOKUP(A25,'price sheet'!$A$3:$F$162,2,FALSE),IF($H$9="ret",VLOOKUP(A25,'price sheet'!$A$3:$F$162,3,FALSE),IF($H$9="afl",VLOOKUP(A25,'price sheet'!$A$3:$F$162,4,FALSE),VLOOKUP(A25,'price sheet'!$A$3:$F$162,3,FALSE))))</f>
        <v>5.335</v>
      </c>
      <c r="G25" s="5"/>
      <c r="H25" s="40">
        <f t="shared" si="5"/>
        <v>0</v>
      </c>
      <c r="I25" s="123"/>
      <c r="J25" s="41"/>
      <c r="K25" s="41"/>
      <c r="L25" s="19">
        <f t="shared" si="6"/>
        <v>0</v>
      </c>
      <c r="M25" s="19">
        <f t="shared" si="7"/>
        <v>0</v>
      </c>
      <c r="N25" s="19">
        <f t="shared" si="8"/>
        <v>0</v>
      </c>
      <c r="O25" s="117">
        <f t="shared" si="9"/>
        <v>0</v>
      </c>
    </row>
    <row r="26" spans="1:15" s="41" customFormat="1" ht="12" customHeight="1">
      <c r="A26" s="35" t="s">
        <v>32</v>
      </c>
      <c r="B26" s="36" t="s">
        <v>33</v>
      </c>
      <c r="C26" s="37"/>
      <c r="D26" s="37"/>
      <c r="E26" s="38"/>
      <c r="F26" s="39">
        <f>IF($H$9="fld",VLOOKUP(A26,'price sheet'!$A$3:$F$162,2,FALSE),IF($H$9="ret",VLOOKUP(A26,'price sheet'!$A$3:$F$162,3,FALSE),IF($H$9="afl",VLOOKUP(A26,'price sheet'!$A$3:$F$162,4,FALSE),VLOOKUP(A26,'price sheet'!$A$3:$F$162,3,FALSE))))</f>
        <v>5.335</v>
      </c>
      <c r="G26" s="5"/>
      <c r="H26" s="40">
        <f t="shared" si="5"/>
        <v>0</v>
      </c>
      <c r="I26" s="123"/>
      <c r="L26" s="19">
        <f t="shared" si="6"/>
        <v>0</v>
      </c>
      <c r="M26" s="19">
        <f t="shared" si="7"/>
        <v>0</v>
      </c>
      <c r="N26" s="19">
        <f t="shared" si="8"/>
        <v>0</v>
      </c>
      <c r="O26" s="117">
        <f t="shared" si="9"/>
        <v>0</v>
      </c>
    </row>
    <row r="27" spans="1:15" s="41" customFormat="1" ht="12" customHeight="1">
      <c r="A27" s="35" t="s">
        <v>34</v>
      </c>
      <c r="B27" s="36" t="s">
        <v>169</v>
      </c>
      <c r="C27" s="37"/>
      <c r="D27" s="37"/>
      <c r="E27" s="38"/>
      <c r="F27" s="39">
        <f>IF($H$9="fld",VLOOKUP(A27,'price sheet'!$A$3:$F$162,2,FALSE),IF($H$9="ret",VLOOKUP(A27,'price sheet'!$A$3:$F$162,3,FALSE),IF($H$9="afl",VLOOKUP(A27,'price sheet'!$A$3:$F$162,4,FALSE),VLOOKUP(A27,'price sheet'!$A$3:$F$162,3,FALSE))))</f>
        <v>5.335</v>
      </c>
      <c r="G27" s="5"/>
      <c r="H27" s="40">
        <f t="shared" si="5"/>
        <v>0</v>
      </c>
      <c r="I27" s="123"/>
      <c r="L27" s="19">
        <f t="shared" si="6"/>
        <v>0</v>
      </c>
      <c r="M27" s="19">
        <f t="shared" si="7"/>
        <v>0</v>
      </c>
      <c r="N27" s="19">
        <f t="shared" si="8"/>
        <v>0</v>
      </c>
      <c r="O27" s="117">
        <f t="shared" si="9"/>
        <v>0</v>
      </c>
    </row>
    <row r="28" spans="1:15" s="41" customFormat="1" ht="12" customHeight="1">
      <c r="A28" s="35" t="s">
        <v>35</v>
      </c>
      <c r="B28" s="36" t="s">
        <v>96</v>
      </c>
      <c r="C28" s="37"/>
      <c r="D28" s="37"/>
      <c r="E28" s="38"/>
      <c r="F28" s="39">
        <f>IF($H$9="fld",VLOOKUP(A28,'price sheet'!$A$3:$F$162,2,FALSE),IF($H$9="ret",VLOOKUP(A28,'price sheet'!$A$3:$F$162,3,FALSE),IF($H$9="afl",VLOOKUP(A28,'price sheet'!$A$3:$F$162,4,FALSE),VLOOKUP(A28,'price sheet'!$A$3:$F$162,3,FALSE))))</f>
        <v>5.335</v>
      </c>
      <c r="G28" s="5"/>
      <c r="H28" s="40">
        <f t="shared" si="5"/>
        <v>0</v>
      </c>
      <c r="I28" s="123"/>
      <c r="L28" s="19">
        <f t="shared" si="6"/>
        <v>0</v>
      </c>
      <c r="M28" s="19">
        <f t="shared" si="7"/>
        <v>0</v>
      </c>
      <c r="N28" s="19">
        <f t="shared" si="8"/>
        <v>0</v>
      </c>
      <c r="O28" s="117">
        <f t="shared" si="9"/>
        <v>0</v>
      </c>
    </row>
    <row r="29" spans="1:15" s="41" customFormat="1" ht="12" customHeight="1">
      <c r="A29" s="35" t="s">
        <v>36</v>
      </c>
      <c r="B29" s="36" t="s">
        <v>42</v>
      </c>
      <c r="C29" s="37"/>
      <c r="D29" s="37"/>
      <c r="E29" s="38"/>
      <c r="F29" s="39">
        <f>IF($H$9="fld",VLOOKUP(A29,'price sheet'!$A$3:$F$162,2,FALSE),IF($H$9="ret",VLOOKUP(A29,'price sheet'!$A$3:$F$162,3,FALSE),IF($H$9="afl",VLOOKUP(A29,'price sheet'!$A$3:$F$162,4,FALSE),VLOOKUP(A29,'price sheet'!$A$3:$F$162,3,FALSE))))</f>
        <v>5.335</v>
      </c>
      <c r="G29" s="5"/>
      <c r="H29" s="40">
        <f t="shared" si="5"/>
        <v>0</v>
      </c>
      <c r="I29" s="123"/>
      <c r="L29" s="19">
        <f t="shared" si="6"/>
        <v>0</v>
      </c>
      <c r="M29" s="19">
        <f t="shared" si="7"/>
        <v>0</v>
      </c>
      <c r="N29" s="19">
        <f t="shared" si="8"/>
        <v>0</v>
      </c>
      <c r="O29" s="117">
        <f t="shared" si="9"/>
        <v>0</v>
      </c>
    </row>
    <row r="30" spans="1:15" s="41" customFormat="1" ht="12" customHeight="1">
      <c r="A30" s="35" t="s">
        <v>37</v>
      </c>
      <c r="B30" s="36" t="s">
        <v>43</v>
      </c>
      <c r="C30" s="37"/>
      <c r="D30" s="37"/>
      <c r="E30" s="38"/>
      <c r="F30" s="39">
        <f>IF($H$9="fld",VLOOKUP(A30,'price sheet'!$A$3:$F$162,2,FALSE),IF($H$9="ret",VLOOKUP(A30,'price sheet'!$A$3:$F$162,3,FALSE),IF($H$9="afl",VLOOKUP(A30,'price sheet'!$A$3:$F$162,4,FALSE),VLOOKUP(A30,'price sheet'!$A$3:$F$162,3,FALSE))))</f>
        <v>5.335</v>
      </c>
      <c r="G30" s="5"/>
      <c r="H30" s="40">
        <f t="shared" si="5"/>
        <v>0</v>
      </c>
      <c r="I30" s="123"/>
      <c r="L30" s="19">
        <f t="shared" si="6"/>
        <v>0</v>
      </c>
      <c r="M30" s="19">
        <f t="shared" si="7"/>
        <v>0</v>
      </c>
      <c r="N30" s="19">
        <f t="shared" si="8"/>
        <v>0</v>
      </c>
      <c r="O30" s="117">
        <f t="shared" si="9"/>
        <v>0</v>
      </c>
    </row>
    <row r="31" spans="1:15" s="41" customFormat="1" ht="12" customHeight="1">
      <c r="A31" s="35" t="s">
        <v>38</v>
      </c>
      <c r="B31" s="36" t="s">
        <v>44</v>
      </c>
      <c r="C31" s="37"/>
      <c r="D31" s="37"/>
      <c r="E31" s="38"/>
      <c r="F31" s="39">
        <f>IF($H$9="fld",VLOOKUP(A31,'price sheet'!$A$3:$F$162,2,FALSE),IF($H$9="ret",VLOOKUP(A31,'price sheet'!$A$3:$F$162,3,FALSE),IF($H$9="afl",VLOOKUP(A31,'price sheet'!$A$3:$F$162,4,FALSE),VLOOKUP(A31,'price sheet'!$A$3:$F$162,3,FALSE))))</f>
        <v>5.335</v>
      </c>
      <c r="G31" s="5"/>
      <c r="H31" s="40">
        <f t="shared" si="5"/>
        <v>0</v>
      </c>
      <c r="I31" s="123"/>
      <c r="L31" s="19">
        <f t="shared" si="6"/>
        <v>0</v>
      </c>
      <c r="M31" s="19">
        <f t="shared" si="7"/>
        <v>0</v>
      </c>
      <c r="N31" s="19">
        <f t="shared" si="8"/>
        <v>0</v>
      </c>
      <c r="O31" s="117">
        <f t="shared" si="9"/>
        <v>0</v>
      </c>
    </row>
    <row r="32" spans="1:15" s="41" customFormat="1" ht="12" customHeight="1">
      <c r="A32" s="35" t="s">
        <v>39</v>
      </c>
      <c r="B32" s="36" t="s">
        <v>45</v>
      </c>
      <c r="C32" s="37"/>
      <c r="D32" s="37"/>
      <c r="E32" s="38"/>
      <c r="F32" s="39">
        <f>IF($H$9="fld",VLOOKUP(A32,'price sheet'!$A$3:$F$162,2,FALSE),IF($H$9="ret",VLOOKUP(A32,'price sheet'!$A$3:$F$162,3,FALSE),IF($H$9="afl",VLOOKUP(A32,'price sheet'!$A$3:$F$162,4,FALSE),VLOOKUP(A32,'price sheet'!$A$3:$F$162,3,FALSE))))</f>
        <v>5.335</v>
      </c>
      <c r="G32" s="5"/>
      <c r="H32" s="40">
        <f t="shared" si="5"/>
        <v>0</v>
      </c>
      <c r="I32" s="123"/>
      <c r="L32" s="19">
        <f t="shared" si="6"/>
        <v>0</v>
      </c>
      <c r="M32" s="19">
        <f t="shared" si="7"/>
        <v>0</v>
      </c>
      <c r="N32" s="19">
        <f t="shared" si="8"/>
        <v>0</v>
      </c>
      <c r="O32" s="117">
        <f t="shared" si="9"/>
        <v>0</v>
      </c>
    </row>
    <row r="33" spans="1:15" s="41" customFormat="1" ht="12" customHeight="1">
      <c r="A33" s="35" t="s">
        <v>40</v>
      </c>
      <c r="B33" s="36" t="s">
        <v>46</v>
      </c>
      <c r="C33" s="37"/>
      <c r="D33" s="37"/>
      <c r="E33" s="38"/>
      <c r="F33" s="39">
        <f>IF($H$9="fld",VLOOKUP(A33,'price sheet'!$A$3:$F$162,2,FALSE),IF($H$9="ret",VLOOKUP(A33,'price sheet'!$A$3:$F$162,3,FALSE),IF($H$9="afl",VLOOKUP(A33,'price sheet'!$A$3:$F$162,4,FALSE),VLOOKUP(A33,'price sheet'!$A$3:$F$162,3,FALSE))))</f>
        <v>5.335</v>
      </c>
      <c r="G33" s="5"/>
      <c r="H33" s="40">
        <f t="shared" si="5"/>
        <v>0</v>
      </c>
      <c r="I33" s="123"/>
      <c r="L33" s="19">
        <f t="shared" si="6"/>
        <v>0</v>
      </c>
      <c r="M33" s="19">
        <f t="shared" si="7"/>
        <v>0</v>
      </c>
      <c r="N33" s="19">
        <f t="shared" si="8"/>
        <v>0</v>
      </c>
      <c r="O33" s="117">
        <f t="shared" si="9"/>
        <v>0</v>
      </c>
    </row>
    <row r="34" spans="1:15" s="41" customFormat="1" ht="12" customHeight="1">
      <c r="A34" s="35" t="s">
        <v>41</v>
      </c>
      <c r="B34" s="36" t="s">
        <v>47</v>
      </c>
      <c r="C34" s="37"/>
      <c r="D34" s="37"/>
      <c r="E34" s="38"/>
      <c r="F34" s="39">
        <f>IF($H$9="fld",VLOOKUP(A34,'price sheet'!$A$3:$F$162,2,FALSE),IF($H$9="ret",VLOOKUP(A34,'price sheet'!$A$3:$F$162,3,FALSE),IF($H$9="afl",VLOOKUP(A34,'price sheet'!$A$3:$F$162,4,FALSE),VLOOKUP(A34,'price sheet'!$A$3:$F$162,3,FALSE))))</f>
        <v>5.335</v>
      </c>
      <c r="G34" s="5"/>
      <c r="H34" s="40">
        <f t="shared" si="5"/>
        <v>0</v>
      </c>
      <c r="I34" s="123"/>
      <c r="L34" s="19">
        <f t="shared" si="6"/>
        <v>0</v>
      </c>
      <c r="M34" s="19">
        <f t="shared" si="7"/>
        <v>0</v>
      </c>
      <c r="N34" s="19">
        <f t="shared" si="8"/>
        <v>0</v>
      </c>
      <c r="O34" s="117">
        <f t="shared" si="9"/>
        <v>0</v>
      </c>
    </row>
    <row r="35" spans="1:15" s="41" customFormat="1" ht="12.75" customHeight="1">
      <c r="A35" s="142"/>
      <c r="B35" s="48"/>
      <c r="C35" s="43"/>
      <c r="D35" s="43"/>
      <c r="E35" s="103"/>
      <c r="F35" s="143"/>
      <c r="G35" s="44" t="s">
        <v>63</v>
      </c>
      <c r="H35" s="49">
        <f>SUM(H24:H34)</f>
        <v>0</v>
      </c>
      <c r="I35" s="124"/>
      <c r="J35" s="19"/>
      <c r="K35" s="19"/>
      <c r="L35" s="19"/>
      <c r="O35" s="119"/>
    </row>
    <row r="36" spans="1:15" s="33" customFormat="1" ht="15">
      <c r="A36" s="47" t="s">
        <v>21</v>
      </c>
      <c r="B36" s="27" t="s">
        <v>48</v>
      </c>
      <c r="C36" s="28"/>
      <c r="D36" s="28"/>
      <c r="E36" s="28"/>
      <c r="F36" s="39" t="s">
        <v>142</v>
      </c>
      <c r="G36" s="47"/>
      <c r="H36" s="47"/>
      <c r="I36" s="112"/>
      <c r="L36" s="34">
        <v>0.15</v>
      </c>
      <c r="M36" s="34">
        <v>0.25</v>
      </c>
      <c r="N36" s="34">
        <v>0.3</v>
      </c>
      <c r="O36" s="118" t="s">
        <v>22</v>
      </c>
    </row>
    <row r="37" spans="1:15" s="41" customFormat="1" ht="12" customHeight="1">
      <c r="A37" s="35" t="s">
        <v>49</v>
      </c>
      <c r="B37" s="36" t="s">
        <v>166</v>
      </c>
      <c r="C37" s="37"/>
      <c r="D37" s="37"/>
      <c r="E37" s="37"/>
      <c r="F37" s="39">
        <f>IF($H$9="fld",VLOOKUP(A37,'price sheet'!$A$3:$F$162,2,FALSE),IF($H$9="ret",VLOOKUP(A37,'price sheet'!$A$3:$F$162,3,FALSE),IF($H$9="afl",VLOOKUP(A37,'price sheet'!$A$3:$F$162,4,FALSE),VLOOKUP(A37,'price sheet'!$A$3:$F$162,3,FALSE))))</f>
        <v>3</v>
      </c>
      <c r="G37" s="5"/>
      <c r="H37" s="40">
        <f t="shared" ref="H37:H51" si="10">F37*G37</f>
        <v>0</v>
      </c>
      <c r="I37" s="123"/>
      <c r="L37" s="19">
        <f t="shared" ref="L37:L51" si="11">IF($H$9="ret",IF(G37&gt;9,H37*15%,0),0)</f>
        <v>0</v>
      </c>
      <c r="M37" s="19">
        <f t="shared" ref="M37:M51" si="12">IF($H$9="ret",IF(G37&gt;50,H37*10%,0),0)</f>
        <v>0</v>
      </c>
      <c r="N37" s="19">
        <f t="shared" ref="N37:N51" si="13">IF($H$9="ret",IF(G37&gt;100,H37*5%,0),0)</f>
        <v>0</v>
      </c>
      <c r="O37" s="117">
        <f t="shared" ref="O37:O51" si="14">IF($H$9="fld",IF(I37&gt;0,H37*$G$205,0),SUM(L37:N37))</f>
        <v>0</v>
      </c>
    </row>
    <row r="38" spans="1:15" s="19" customFormat="1" ht="12" customHeight="1">
      <c r="A38" s="35" t="s">
        <v>50</v>
      </c>
      <c r="B38" s="36" t="s">
        <v>167</v>
      </c>
      <c r="C38" s="37"/>
      <c r="D38" s="37"/>
      <c r="E38" s="104"/>
      <c r="F38" s="39" t="e">
        <f>IF($H$9="fld",VLOOKUP(A38,'price sheet'!$A$3:$F$162,2,FALSE),IF($H$9="ret",VLOOKUP(A38,'price sheet'!$A$3:$F$162,3,FALSE),IF($H$9="afl",VLOOKUP(A38,'price sheet'!$A$3:$F$162,4,FALSE),VLOOKUP(A38,'price sheet'!$A$3:$F$162,3,FALSE))))</f>
        <v>#N/A</v>
      </c>
      <c r="G38" s="5"/>
      <c r="H38" s="40" t="e">
        <f t="shared" si="10"/>
        <v>#N/A</v>
      </c>
      <c r="I38" s="123"/>
      <c r="J38" s="41"/>
      <c r="K38" s="41"/>
      <c r="L38" s="19">
        <f t="shared" si="11"/>
        <v>0</v>
      </c>
      <c r="M38" s="19">
        <f t="shared" si="12"/>
        <v>0</v>
      </c>
      <c r="N38" s="19">
        <f t="shared" si="13"/>
        <v>0</v>
      </c>
      <c r="O38" s="117">
        <f t="shared" si="14"/>
        <v>0</v>
      </c>
    </row>
    <row r="39" spans="1:15" s="41" customFormat="1" ht="12" customHeight="1">
      <c r="A39" s="35" t="s">
        <v>51</v>
      </c>
      <c r="B39" s="36" t="s">
        <v>168</v>
      </c>
      <c r="C39" s="37"/>
      <c r="D39" s="37"/>
      <c r="E39" s="37"/>
      <c r="F39" s="39" t="e">
        <f>IF($H$9="fld",VLOOKUP(A39,'price sheet'!$A$3:$F$162,2,FALSE),IF($H$9="ret",VLOOKUP(A39,'price sheet'!$A$3:$F$162,3,FALSE),IF($H$9="afl",VLOOKUP(A39,'price sheet'!$A$3:$F$162,4,FALSE),VLOOKUP(A39,'price sheet'!$A$3:$F$162,3,FALSE))))</f>
        <v>#N/A</v>
      </c>
      <c r="G39" s="5"/>
      <c r="H39" s="40" t="e">
        <f t="shared" si="10"/>
        <v>#N/A</v>
      </c>
      <c r="I39" s="123"/>
      <c r="L39" s="19">
        <f t="shared" si="11"/>
        <v>0</v>
      </c>
      <c r="M39" s="19">
        <f t="shared" si="12"/>
        <v>0</v>
      </c>
      <c r="N39" s="19">
        <f t="shared" si="13"/>
        <v>0</v>
      </c>
      <c r="O39" s="117">
        <f t="shared" si="14"/>
        <v>0</v>
      </c>
    </row>
    <row r="40" spans="1:15" s="41" customFormat="1" ht="12" customHeight="1">
      <c r="A40" s="35" t="s">
        <v>52</v>
      </c>
      <c r="B40" s="36" t="s">
        <v>59</v>
      </c>
      <c r="C40" s="37"/>
      <c r="D40" s="37"/>
      <c r="E40" s="37"/>
      <c r="F40" s="39" t="e">
        <f>IF($H$9="fld",VLOOKUP(A40,'price sheet'!$A$3:$F$162,2,FALSE),IF($H$9="ret",VLOOKUP(A40,'price sheet'!$A$3:$F$162,3,FALSE),IF($H$9="afl",VLOOKUP(A40,'price sheet'!$A$3:$F$162,4,FALSE),VLOOKUP(A40,'price sheet'!$A$3:$F$162,3,FALSE))))</f>
        <v>#N/A</v>
      </c>
      <c r="G40" s="5"/>
      <c r="H40" s="40" t="e">
        <f t="shared" si="10"/>
        <v>#N/A</v>
      </c>
      <c r="I40" s="123"/>
      <c r="L40" s="19">
        <f t="shared" si="11"/>
        <v>0</v>
      </c>
      <c r="M40" s="19">
        <f t="shared" si="12"/>
        <v>0</v>
      </c>
      <c r="N40" s="19">
        <f t="shared" si="13"/>
        <v>0</v>
      </c>
      <c r="O40" s="117">
        <f t="shared" si="14"/>
        <v>0</v>
      </c>
    </row>
    <row r="41" spans="1:15" s="41" customFormat="1" ht="12" customHeight="1">
      <c r="A41" s="35" t="s">
        <v>53</v>
      </c>
      <c r="B41" s="36" t="s">
        <v>60</v>
      </c>
      <c r="C41" s="37"/>
      <c r="D41" s="37"/>
      <c r="E41" s="37"/>
      <c r="F41" s="39" t="e">
        <f>IF($H$9="fld",VLOOKUP(A41,'price sheet'!$A$3:$F$162,2,FALSE),IF($H$9="ret",VLOOKUP(A41,'price sheet'!$A$3:$F$162,3,FALSE),IF($H$9="afl",VLOOKUP(A41,'price sheet'!$A$3:$F$162,4,FALSE),VLOOKUP(A41,'price sheet'!$A$3:$F$162,3,FALSE))))</f>
        <v>#N/A</v>
      </c>
      <c r="G41" s="5"/>
      <c r="H41" s="40" t="e">
        <f t="shared" si="10"/>
        <v>#N/A</v>
      </c>
      <c r="I41" s="123"/>
      <c r="L41" s="19">
        <f t="shared" si="11"/>
        <v>0</v>
      </c>
      <c r="M41" s="19">
        <f t="shared" si="12"/>
        <v>0</v>
      </c>
      <c r="N41" s="19">
        <f t="shared" si="13"/>
        <v>0</v>
      </c>
      <c r="O41" s="117">
        <f t="shared" si="14"/>
        <v>0</v>
      </c>
    </row>
    <row r="42" spans="1:15" s="41" customFormat="1" ht="12" customHeight="1">
      <c r="A42" s="35" t="s">
        <v>54</v>
      </c>
      <c r="B42" s="36" t="s">
        <v>185</v>
      </c>
      <c r="C42" s="37"/>
      <c r="D42" s="37"/>
      <c r="E42" s="37"/>
      <c r="F42" s="39" t="e">
        <f>IF($H$9="fld",VLOOKUP(A42,'price sheet'!$A$3:$F$162,2,FALSE),IF($H$9="ret",VLOOKUP(A42,'price sheet'!$A$3:$F$162,3,FALSE),IF($H$9="afl",VLOOKUP(A42,'price sheet'!$A$3:$F$162,4,FALSE),VLOOKUP(A42,'price sheet'!$A$3:$F$162,3,FALSE))))</f>
        <v>#N/A</v>
      </c>
      <c r="G42" s="5"/>
      <c r="H42" s="40" t="e">
        <f t="shared" si="10"/>
        <v>#N/A</v>
      </c>
      <c r="I42" s="123"/>
      <c r="L42" s="19">
        <f t="shared" si="11"/>
        <v>0</v>
      </c>
      <c r="M42" s="19">
        <f t="shared" si="12"/>
        <v>0</v>
      </c>
      <c r="N42" s="19">
        <f t="shared" si="13"/>
        <v>0</v>
      </c>
      <c r="O42" s="117">
        <f t="shared" si="14"/>
        <v>0</v>
      </c>
    </row>
    <row r="43" spans="1:15" s="41" customFormat="1" ht="12" customHeight="1">
      <c r="A43" s="35" t="s">
        <v>55</v>
      </c>
      <c r="B43" s="36" t="s">
        <v>97</v>
      </c>
      <c r="C43" s="37"/>
      <c r="D43" s="37"/>
      <c r="E43" s="37"/>
      <c r="F43" s="39" t="e">
        <f>IF($H$9="fld",VLOOKUP(A43,'price sheet'!$A$3:$F$162,2,FALSE),IF($H$9="ret",VLOOKUP(A43,'price sheet'!$A$3:$F$162,3,FALSE),IF($H$9="afl",VLOOKUP(A43,'price sheet'!$A$3:$F$162,4,FALSE),VLOOKUP(A43,'price sheet'!$A$3:$F$162,3,FALSE))))</f>
        <v>#N/A</v>
      </c>
      <c r="G43" s="5"/>
      <c r="H43" s="40" t="e">
        <f t="shared" si="10"/>
        <v>#N/A</v>
      </c>
      <c r="I43" s="123"/>
      <c r="L43" s="19">
        <f t="shared" si="11"/>
        <v>0</v>
      </c>
      <c r="M43" s="19">
        <f t="shared" si="12"/>
        <v>0</v>
      </c>
      <c r="N43" s="19">
        <f t="shared" si="13"/>
        <v>0</v>
      </c>
      <c r="O43" s="117">
        <f t="shared" si="14"/>
        <v>0</v>
      </c>
    </row>
    <row r="44" spans="1:15" s="41" customFormat="1" ht="12" customHeight="1">
      <c r="A44" s="35" t="s">
        <v>56</v>
      </c>
      <c r="B44" s="36" t="s">
        <v>98</v>
      </c>
      <c r="C44" s="37"/>
      <c r="D44" s="37"/>
      <c r="E44" s="37"/>
      <c r="F44" s="39" t="e">
        <f>IF($H$9="fld",VLOOKUP(A44,'price sheet'!$A$3:$F$162,2,FALSE),IF($H$9="ret",VLOOKUP(A44,'price sheet'!$A$3:$F$162,3,FALSE),IF($H$9="afl",VLOOKUP(A44,'price sheet'!$A$3:$F$162,4,FALSE),VLOOKUP(A44,'price sheet'!$A$3:$F$162,3,FALSE))))</f>
        <v>#N/A</v>
      </c>
      <c r="G44" s="5"/>
      <c r="H44" s="40" t="e">
        <f t="shared" si="10"/>
        <v>#N/A</v>
      </c>
      <c r="I44" s="123"/>
      <c r="L44" s="19">
        <f t="shared" si="11"/>
        <v>0</v>
      </c>
      <c r="M44" s="19">
        <f t="shared" si="12"/>
        <v>0</v>
      </c>
      <c r="N44" s="19">
        <f t="shared" si="13"/>
        <v>0</v>
      </c>
      <c r="O44" s="117">
        <f t="shared" si="14"/>
        <v>0</v>
      </c>
    </row>
    <row r="45" spans="1:15" s="41" customFormat="1" ht="12" customHeight="1">
      <c r="A45" s="35" t="s">
        <v>57</v>
      </c>
      <c r="B45" s="36" t="s">
        <v>61</v>
      </c>
      <c r="C45" s="37"/>
      <c r="D45" s="37"/>
      <c r="E45" s="37"/>
      <c r="F45" s="39" t="e">
        <f>IF($H$9="fld",VLOOKUP(A45,'price sheet'!$A$3:$F$162,2,FALSE),IF($H$9="ret",VLOOKUP(A45,'price sheet'!$A$3:$F$162,3,FALSE),IF($H$9="afl",VLOOKUP(A45,'price sheet'!$A$3:$F$162,4,FALSE),VLOOKUP(A45,'price sheet'!$A$3:$F$162,3,FALSE))))</f>
        <v>#N/A</v>
      </c>
      <c r="G45" s="5"/>
      <c r="H45" s="40" t="e">
        <f t="shared" si="10"/>
        <v>#N/A</v>
      </c>
      <c r="I45" s="123"/>
      <c r="L45" s="19">
        <f t="shared" si="11"/>
        <v>0</v>
      </c>
      <c r="M45" s="19">
        <f t="shared" si="12"/>
        <v>0</v>
      </c>
      <c r="N45" s="19">
        <f t="shared" si="13"/>
        <v>0</v>
      </c>
      <c r="O45" s="117">
        <f t="shared" si="14"/>
        <v>0</v>
      </c>
    </row>
    <row r="46" spans="1:15" s="41" customFormat="1" ht="12" customHeight="1">
      <c r="A46" s="35" t="s">
        <v>58</v>
      </c>
      <c r="B46" s="36" t="s">
        <v>62</v>
      </c>
      <c r="C46" s="37"/>
      <c r="D46" s="37"/>
      <c r="E46" s="37"/>
      <c r="F46" s="39" t="e">
        <f>IF($H$9="fld",VLOOKUP(A46,'price sheet'!$A$3:$F$162,2,FALSE),IF($H$9="ret",VLOOKUP(A46,'price sheet'!$A$3:$F$162,3,FALSE),IF($H$9="afl",VLOOKUP(A46,'price sheet'!$A$3:$F$162,4,FALSE),VLOOKUP(A46,'price sheet'!$A$3:$F$162,3,FALSE))))</f>
        <v>#N/A</v>
      </c>
      <c r="G46" s="5"/>
      <c r="H46" s="40" t="e">
        <f t="shared" si="10"/>
        <v>#N/A</v>
      </c>
      <c r="I46" s="123"/>
      <c r="L46" s="19">
        <f t="shared" si="11"/>
        <v>0</v>
      </c>
      <c r="M46" s="19">
        <f t="shared" si="12"/>
        <v>0</v>
      </c>
      <c r="N46" s="19">
        <f t="shared" si="13"/>
        <v>0</v>
      </c>
      <c r="O46" s="117">
        <f t="shared" si="14"/>
        <v>0</v>
      </c>
    </row>
    <row r="47" spans="1:15" s="41" customFormat="1" ht="12" customHeight="1">
      <c r="A47" s="35" t="s">
        <v>145</v>
      </c>
      <c r="B47" s="50" t="s">
        <v>165</v>
      </c>
      <c r="C47" s="51"/>
      <c r="D47" s="51"/>
      <c r="E47" s="37"/>
      <c r="F47" s="39" t="e">
        <f>IF($H$9="fld",VLOOKUP(A47,'price sheet'!$A$3:$F$162,2,FALSE),IF($H$9="ret",VLOOKUP(A47,'price sheet'!$A$3:$F$162,3,FALSE),IF($H$9="afl",VLOOKUP(A47,'price sheet'!$A$3:$F$162,4,FALSE),VLOOKUP(A47,'price sheet'!$A$3:$F$162,3,FALSE))))</f>
        <v>#N/A</v>
      </c>
      <c r="G47" s="5"/>
      <c r="H47" s="40" t="e">
        <f t="shared" si="10"/>
        <v>#N/A</v>
      </c>
      <c r="I47" s="123"/>
      <c r="L47" s="19">
        <f t="shared" si="11"/>
        <v>0</v>
      </c>
      <c r="M47" s="19">
        <f t="shared" si="12"/>
        <v>0</v>
      </c>
      <c r="N47" s="19">
        <f t="shared" si="13"/>
        <v>0</v>
      </c>
      <c r="O47" s="117">
        <f t="shared" si="14"/>
        <v>0</v>
      </c>
    </row>
    <row r="48" spans="1:15" s="41" customFormat="1" ht="12" customHeight="1">
      <c r="A48" s="35"/>
      <c r="B48" s="36" t="s">
        <v>146</v>
      </c>
      <c r="C48" s="37"/>
      <c r="D48" s="37"/>
      <c r="E48" s="37"/>
      <c r="F48" s="39"/>
      <c r="G48" s="53"/>
      <c r="H48" s="40"/>
      <c r="I48" s="123"/>
      <c r="L48" s="19">
        <f t="shared" si="11"/>
        <v>0</v>
      </c>
      <c r="M48" s="19">
        <f t="shared" si="12"/>
        <v>0</v>
      </c>
      <c r="N48" s="19">
        <f t="shared" si="13"/>
        <v>0</v>
      </c>
      <c r="O48" s="117">
        <f t="shared" si="14"/>
        <v>0</v>
      </c>
    </row>
    <row r="49" spans="1:15" s="41" customFormat="1" ht="12" customHeight="1">
      <c r="A49" s="35" t="s">
        <v>186</v>
      </c>
      <c r="B49" s="36" t="s">
        <v>187</v>
      </c>
      <c r="C49" s="37"/>
      <c r="D49" s="37"/>
      <c r="E49" s="37"/>
      <c r="F49" s="39" t="e">
        <f>IF($H$9="fld",VLOOKUP(A49,'price sheet'!$A$3:$F$162,2,FALSE),IF($H$9="ret",VLOOKUP(A49,'price sheet'!$A$3:$F$162,3,FALSE),IF($H$9="afl",VLOOKUP(A49,'price sheet'!$A$3:$F$162,4,FALSE),VLOOKUP(A49,'price sheet'!$A$3:$F$162,3,FALSE))))</f>
        <v>#N/A</v>
      </c>
      <c r="G49" s="5"/>
      <c r="H49" s="40" t="e">
        <f t="shared" si="10"/>
        <v>#N/A</v>
      </c>
      <c r="I49" s="123"/>
      <c r="L49" s="19">
        <f t="shared" si="11"/>
        <v>0</v>
      </c>
      <c r="M49" s="19">
        <f t="shared" si="12"/>
        <v>0</v>
      </c>
      <c r="N49" s="19">
        <f t="shared" si="13"/>
        <v>0</v>
      </c>
      <c r="O49" s="117">
        <f t="shared" si="14"/>
        <v>0</v>
      </c>
    </row>
    <row r="50" spans="1:15" s="41" customFormat="1" ht="12" customHeight="1">
      <c r="A50" s="35" t="s">
        <v>229</v>
      </c>
      <c r="B50" s="36" t="s">
        <v>230</v>
      </c>
      <c r="C50" s="37"/>
      <c r="D50" s="37"/>
      <c r="E50" s="37"/>
      <c r="F50" s="39" t="e">
        <f>IF($H$9="fld",VLOOKUP(A50,'price sheet'!$A$3:$F$162,2,FALSE),IF($H$9="ret",VLOOKUP(A50,'price sheet'!$A$3:$F$162,3,FALSE),IF($H$9="afl",VLOOKUP(A50,'price sheet'!$A$3:$F$162,4,FALSE),VLOOKUP(A50,'price sheet'!$A$3:$F$162,3,FALSE))))</f>
        <v>#N/A</v>
      </c>
      <c r="G50" s="5"/>
      <c r="H50" s="40" t="e">
        <f t="shared" si="10"/>
        <v>#N/A</v>
      </c>
      <c r="I50" s="123"/>
      <c r="L50" s="19">
        <f t="shared" si="11"/>
        <v>0</v>
      </c>
      <c r="M50" s="19">
        <f t="shared" si="12"/>
        <v>0</v>
      </c>
      <c r="N50" s="19">
        <f t="shared" si="13"/>
        <v>0</v>
      </c>
      <c r="O50" s="117">
        <f t="shared" si="14"/>
        <v>0</v>
      </c>
    </row>
    <row r="51" spans="1:15" s="41" customFormat="1" ht="12" customHeight="1">
      <c r="A51" s="35" t="s">
        <v>231</v>
      </c>
      <c r="B51" s="36" t="s">
        <v>144</v>
      </c>
      <c r="C51" s="37"/>
      <c r="D51" s="37"/>
      <c r="E51" s="37"/>
      <c r="F51" s="39" t="e">
        <f>IF($H$9="fld",VLOOKUP(A51,'price sheet'!$A$3:$F$162,2,FALSE),IF($H$9="ret",VLOOKUP(A51,'price sheet'!$A$3:$F$162,3,FALSE),IF($H$9="afl",VLOOKUP(A51,'price sheet'!$A$3:$F$162,4,FALSE),VLOOKUP(A51,'price sheet'!$A$3:$F$162,3,FALSE))))</f>
        <v>#N/A</v>
      </c>
      <c r="G51" s="5"/>
      <c r="H51" s="40" t="e">
        <f t="shared" si="10"/>
        <v>#N/A</v>
      </c>
      <c r="I51" s="123"/>
      <c r="L51" s="19">
        <f t="shared" si="11"/>
        <v>0</v>
      </c>
      <c r="M51" s="19">
        <f t="shared" si="12"/>
        <v>0</v>
      </c>
      <c r="N51" s="19">
        <f t="shared" si="13"/>
        <v>0</v>
      </c>
      <c r="O51" s="117">
        <f t="shared" si="14"/>
        <v>0</v>
      </c>
    </row>
    <row r="52" spans="1:15" s="41" customFormat="1" ht="12.75" customHeight="1">
      <c r="A52" s="142"/>
      <c r="B52" s="48"/>
      <c r="C52" s="43"/>
      <c r="D52" s="43"/>
      <c r="E52" s="105"/>
      <c r="F52" s="143"/>
      <c r="G52" s="44" t="s">
        <v>63</v>
      </c>
      <c r="H52" s="46" t="e">
        <f>SUM(H37:H51)</f>
        <v>#N/A</v>
      </c>
      <c r="I52" s="124"/>
      <c r="J52" s="19"/>
      <c r="K52" s="19"/>
      <c r="L52" s="19"/>
      <c r="O52" s="119"/>
    </row>
    <row r="53" spans="1:15" s="33" customFormat="1" ht="15">
      <c r="A53" s="47" t="s">
        <v>65</v>
      </c>
      <c r="B53" s="54" t="s">
        <v>66</v>
      </c>
      <c r="C53" s="55"/>
      <c r="D53" s="55"/>
      <c r="E53" s="28"/>
      <c r="F53" s="39" t="s">
        <v>142</v>
      </c>
      <c r="G53" s="56"/>
      <c r="H53" s="57"/>
      <c r="I53" s="112"/>
      <c r="L53" s="34">
        <v>0.15</v>
      </c>
      <c r="M53" s="34">
        <v>0.25</v>
      </c>
      <c r="N53" s="34">
        <v>0.3</v>
      </c>
      <c r="O53" s="118" t="s">
        <v>22</v>
      </c>
    </row>
    <row r="54" spans="1:15" s="41" customFormat="1" ht="12" customHeight="1">
      <c r="A54" s="35" t="s">
        <v>67</v>
      </c>
      <c r="B54" s="60" t="s">
        <v>170</v>
      </c>
      <c r="C54" s="61"/>
      <c r="D54" s="61"/>
      <c r="E54" s="37"/>
      <c r="F54" s="39">
        <f>IF($H$9="fld",VLOOKUP(A54,'price sheet'!$A$3:$F$162,2,FALSE),IF($H$9="ret",VLOOKUP(A54,'price sheet'!$A$3:$F$162,3,FALSE),IF($H$9="afl",VLOOKUP(A54,'price sheet'!$A$3:$F$162,4,FALSE),VLOOKUP(A54,'price sheet'!$A$3:$F$162,3,FALSE))))</f>
        <v>3.2</v>
      </c>
      <c r="G54" s="5"/>
      <c r="H54" s="40">
        <f t="shared" ref="H54:H70" si="15">F54*G54</f>
        <v>0</v>
      </c>
      <c r="I54" s="123"/>
      <c r="L54" s="19">
        <f t="shared" ref="L54:L70" si="16">IF($H$9="ret",IF(G54&gt;9,H54*15%,0),0)</f>
        <v>0</v>
      </c>
      <c r="M54" s="19">
        <f t="shared" ref="M54:M70" si="17">IF($H$9="ret",IF(G54&gt;50,H54*10%,0),0)</f>
        <v>0</v>
      </c>
      <c r="N54" s="19">
        <f t="shared" ref="N54:N70" si="18">IF($H$9="ret",IF(G54&gt;100,H54*5%,0),0)</f>
        <v>0</v>
      </c>
      <c r="O54" s="117">
        <f t="shared" ref="O54:O70" si="19">IF($H$9="fld",IF(I54&gt;0,H54*$G$205,0),SUM(L54:N54))</f>
        <v>0</v>
      </c>
    </row>
    <row r="55" spans="1:15" s="19" customFormat="1" ht="12" customHeight="1">
      <c r="A55" s="35" t="s">
        <v>68</v>
      </c>
      <c r="B55" s="60" t="s">
        <v>171</v>
      </c>
      <c r="C55" s="61"/>
      <c r="D55" s="61"/>
      <c r="E55" s="104"/>
      <c r="F55" s="39">
        <f>IF($H$9="fld",VLOOKUP(A55,'price sheet'!$A$3:$F$162,2,FALSE),IF($H$9="ret",VLOOKUP(A55,'price sheet'!$A$3:$F$162,3,FALSE),IF($H$9="afl",VLOOKUP(A55,'price sheet'!$A$3:$F$162,4,FALSE),VLOOKUP(A55,'price sheet'!$A$3:$F$162,3,FALSE))))</f>
        <v>3.2</v>
      </c>
      <c r="G55" s="5"/>
      <c r="H55" s="40">
        <f t="shared" si="15"/>
        <v>0</v>
      </c>
      <c r="I55" s="123"/>
      <c r="J55" s="41"/>
      <c r="K55" s="41"/>
      <c r="L55" s="19">
        <f t="shared" si="16"/>
        <v>0</v>
      </c>
      <c r="M55" s="19">
        <f t="shared" si="17"/>
        <v>0</v>
      </c>
      <c r="N55" s="19">
        <f t="shared" si="18"/>
        <v>0</v>
      </c>
      <c r="O55" s="117">
        <f t="shared" si="19"/>
        <v>0</v>
      </c>
    </row>
    <row r="56" spans="1:15" s="41" customFormat="1" ht="12" customHeight="1">
      <c r="A56" s="35" t="s">
        <v>69</v>
      </c>
      <c r="B56" s="60" t="s">
        <v>172</v>
      </c>
      <c r="C56" s="61"/>
      <c r="D56" s="61"/>
      <c r="E56" s="37"/>
      <c r="F56" s="39">
        <f>IF($H$9="fld",VLOOKUP(A56,'price sheet'!$A$3:$F$162,2,FALSE),IF($H$9="ret",VLOOKUP(A56,'price sheet'!$A$3:$F$162,3,FALSE),IF($H$9="afl",VLOOKUP(A56,'price sheet'!$A$3:$F$162,4,FALSE),VLOOKUP(A56,'price sheet'!$A$3:$F$162,3,FALSE))))</f>
        <v>3.2</v>
      </c>
      <c r="G56" s="5"/>
      <c r="H56" s="40">
        <f t="shared" si="15"/>
        <v>0</v>
      </c>
      <c r="I56" s="123"/>
      <c r="L56" s="19">
        <f t="shared" si="16"/>
        <v>0</v>
      </c>
      <c r="M56" s="19">
        <f t="shared" si="17"/>
        <v>0</v>
      </c>
      <c r="N56" s="19">
        <f t="shared" si="18"/>
        <v>0</v>
      </c>
      <c r="O56" s="117">
        <f t="shared" si="19"/>
        <v>0</v>
      </c>
    </row>
    <row r="57" spans="1:15" s="41" customFormat="1" ht="12" customHeight="1">
      <c r="A57" s="35" t="s">
        <v>70</v>
      </c>
      <c r="B57" s="60" t="s">
        <v>232</v>
      </c>
      <c r="C57" s="61"/>
      <c r="D57" s="61"/>
      <c r="E57" s="37"/>
      <c r="F57" s="39">
        <f>IF($H$9="fld",VLOOKUP(A57,'price sheet'!$A$3:$F$162,2,FALSE),IF($H$9="ret",VLOOKUP(A57,'price sheet'!$A$3:$F$162,3,FALSE),IF($H$9="afl",VLOOKUP(A57,'price sheet'!$A$3:$F$162,4,FALSE),VLOOKUP(A57,'price sheet'!$A$3:$F$162,3,FALSE))))</f>
        <v>3.2</v>
      </c>
      <c r="G57" s="5"/>
      <c r="H57" s="40">
        <f t="shared" si="15"/>
        <v>0</v>
      </c>
      <c r="I57" s="123"/>
      <c r="L57" s="19">
        <f t="shared" si="16"/>
        <v>0</v>
      </c>
      <c r="M57" s="19">
        <f t="shared" si="17"/>
        <v>0</v>
      </c>
      <c r="N57" s="19">
        <f t="shared" si="18"/>
        <v>0</v>
      </c>
      <c r="O57" s="117">
        <f t="shared" si="19"/>
        <v>0</v>
      </c>
    </row>
    <row r="58" spans="1:15" s="41" customFormat="1" ht="12" customHeight="1">
      <c r="A58" s="35" t="s">
        <v>71</v>
      </c>
      <c r="B58" s="60" t="s">
        <v>81</v>
      </c>
      <c r="C58" s="61"/>
      <c r="D58" s="61"/>
      <c r="E58" s="37"/>
      <c r="F58" s="39">
        <f>IF($H$9="fld",VLOOKUP(A58,'price sheet'!$A$3:$F$162,2,FALSE),IF($H$9="ret",VLOOKUP(A58,'price sheet'!$A$3:$F$162,3,FALSE),IF($H$9="afl",VLOOKUP(A58,'price sheet'!$A$3:$F$162,4,FALSE),VLOOKUP(A58,'price sheet'!$A$3:$F$162,3,FALSE))))</f>
        <v>3.2</v>
      </c>
      <c r="G58" s="5"/>
      <c r="H58" s="40">
        <f t="shared" si="15"/>
        <v>0</v>
      </c>
      <c r="I58" s="123"/>
      <c r="L58" s="19">
        <f t="shared" si="16"/>
        <v>0</v>
      </c>
      <c r="M58" s="19">
        <f t="shared" si="17"/>
        <v>0</v>
      </c>
      <c r="N58" s="19">
        <f t="shared" si="18"/>
        <v>0</v>
      </c>
      <c r="O58" s="117">
        <f t="shared" si="19"/>
        <v>0</v>
      </c>
    </row>
    <row r="59" spans="1:15" s="41" customFormat="1" ht="12" customHeight="1">
      <c r="A59" s="35" t="s">
        <v>72</v>
      </c>
      <c r="B59" s="60" t="s">
        <v>173</v>
      </c>
      <c r="C59" s="61"/>
      <c r="D59" s="61"/>
      <c r="E59" s="37"/>
      <c r="F59" s="39" t="e">
        <f>IF($H$9="fld",VLOOKUP(A59,'price sheet'!$A$3:$F$162,2,FALSE),IF($H$9="ret",VLOOKUP(A59,'price sheet'!$A$3:$F$162,3,FALSE),IF($H$9="afl",VLOOKUP(A59,'price sheet'!$A$3:$F$162,4,FALSE),VLOOKUP(A59,'price sheet'!$A$3:$F$162,3,FALSE))))</f>
        <v>#N/A</v>
      </c>
      <c r="G59" s="5"/>
      <c r="H59" s="40" t="e">
        <f t="shared" si="15"/>
        <v>#N/A</v>
      </c>
      <c r="I59" s="123"/>
      <c r="L59" s="19">
        <f t="shared" si="16"/>
        <v>0</v>
      </c>
      <c r="M59" s="19">
        <f t="shared" si="17"/>
        <v>0</v>
      </c>
      <c r="N59" s="19">
        <f t="shared" si="18"/>
        <v>0</v>
      </c>
      <c r="O59" s="117">
        <f t="shared" si="19"/>
        <v>0</v>
      </c>
    </row>
    <row r="60" spans="1:15" s="41" customFormat="1" ht="12" customHeight="1">
      <c r="A60" s="35" t="s">
        <v>73</v>
      </c>
      <c r="B60" s="60" t="s">
        <v>174</v>
      </c>
      <c r="C60" s="61"/>
      <c r="D60" s="61"/>
      <c r="E60" s="37"/>
      <c r="F60" s="39">
        <f>IF($H$9="fld",VLOOKUP(A60,'price sheet'!$A$3:$F$162,2,FALSE),IF($H$9="ret",VLOOKUP(A60,'price sheet'!$A$3:$F$162,3,FALSE),IF($H$9="afl",VLOOKUP(A60,'price sheet'!$A$3:$F$162,4,FALSE),VLOOKUP(A60,'price sheet'!$A$3:$F$162,3,FALSE))))</f>
        <v>3.2</v>
      </c>
      <c r="G60" s="5"/>
      <c r="H60" s="40">
        <f t="shared" si="15"/>
        <v>0</v>
      </c>
      <c r="I60" s="123"/>
      <c r="L60" s="19">
        <f t="shared" si="16"/>
        <v>0</v>
      </c>
      <c r="M60" s="19">
        <f t="shared" si="17"/>
        <v>0</v>
      </c>
      <c r="N60" s="19">
        <f t="shared" si="18"/>
        <v>0</v>
      </c>
      <c r="O60" s="117">
        <f t="shared" si="19"/>
        <v>0</v>
      </c>
    </row>
    <row r="61" spans="1:15" s="41" customFormat="1" ht="12" customHeight="1">
      <c r="A61" s="35" t="s">
        <v>74</v>
      </c>
      <c r="B61" s="60" t="s">
        <v>175</v>
      </c>
      <c r="C61" s="61"/>
      <c r="D61" s="61"/>
      <c r="E61" s="37"/>
      <c r="F61" s="39">
        <f>IF($H$9="fld",VLOOKUP(A61,'price sheet'!$A$3:$F$162,2,FALSE),IF($H$9="ret",VLOOKUP(A61,'price sheet'!$A$3:$F$162,3,FALSE),IF($H$9="afl",VLOOKUP(A61,'price sheet'!$A$3:$F$162,4,FALSE),VLOOKUP(A61,'price sheet'!$A$3:$F$162,3,FALSE))))</f>
        <v>3.2</v>
      </c>
      <c r="G61" s="5"/>
      <c r="H61" s="40">
        <f t="shared" si="15"/>
        <v>0</v>
      </c>
      <c r="I61" s="123"/>
      <c r="L61" s="19">
        <f t="shared" si="16"/>
        <v>0</v>
      </c>
      <c r="M61" s="19">
        <f t="shared" si="17"/>
        <v>0</v>
      </c>
      <c r="N61" s="19">
        <f t="shared" si="18"/>
        <v>0</v>
      </c>
      <c r="O61" s="117">
        <f t="shared" si="19"/>
        <v>0</v>
      </c>
    </row>
    <row r="62" spans="1:15" s="41" customFormat="1" ht="12" customHeight="1">
      <c r="A62" s="35" t="s">
        <v>75</v>
      </c>
      <c r="B62" s="60" t="s">
        <v>176</v>
      </c>
      <c r="C62" s="61"/>
      <c r="D62" s="61"/>
      <c r="E62" s="37"/>
      <c r="F62" s="39">
        <f>IF($H$9="fld",VLOOKUP(A62,'price sheet'!$A$3:$F$162,2,FALSE),IF($H$9="ret",VLOOKUP(A62,'price sheet'!$A$3:$F$162,3,FALSE),IF($H$9="afl",VLOOKUP(A62,'price sheet'!$A$3:$F$162,4,FALSE),VLOOKUP(A62,'price sheet'!$A$3:$F$162,3,FALSE))))</f>
        <v>3.2</v>
      </c>
      <c r="G62" s="5"/>
      <c r="H62" s="40">
        <f t="shared" si="15"/>
        <v>0</v>
      </c>
      <c r="I62" s="123"/>
      <c r="L62" s="19">
        <f t="shared" si="16"/>
        <v>0</v>
      </c>
      <c r="M62" s="19">
        <f t="shared" si="17"/>
        <v>0</v>
      </c>
      <c r="N62" s="19">
        <f t="shared" si="18"/>
        <v>0</v>
      </c>
      <c r="O62" s="117">
        <f t="shared" si="19"/>
        <v>0</v>
      </c>
    </row>
    <row r="63" spans="1:15" s="41" customFormat="1" ht="12" customHeight="1">
      <c r="A63" s="35" t="s">
        <v>76</v>
      </c>
      <c r="B63" s="60" t="s">
        <v>82</v>
      </c>
      <c r="C63" s="61"/>
      <c r="D63" s="61"/>
      <c r="E63" s="37"/>
      <c r="F63" s="39" t="e">
        <f>IF($H$9="fld",VLOOKUP(A63,'price sheet'!$A$3:$F$162,2,FALSE),IF($H$9="ret",VLOOKUP(A63,'price sheet'!$A$3:$F$162,3,FALSE),IF($H$9="afl",VLOOKUP(A63,'price sheet'!$A$3:$F$162,4,FALSE),VLOOKUP(A63,'price sheet'!$A$3:$F$162,3,FALSE))))</f>
        <v>#N/A</v>
      </c>
      <c r="G63" s="5"/>
      <c r="H63" s="40" t="e">
        <f t="shared" si="15"/>
        <v>#N/A</v>
      </c>
      <c r="I63" s="123"/>
      <c r="L63" s="19">
        <f t="shared" si="16"/>
        <v>0</v>
      </c>
      <c r="M63" s="19">
        <f t="shared" si="17"/>
        <v>0</v>
      </c>
      <c r="N63" s="19">
        <f t="shared" si="18"/>
        <v>0</v>
      </c>
      <c r="O63" s="117">
        <f t="shared" si="19"/>
        <v>0</v>
      </c>
    </row>
    <row r="64" spans="1:15" s="41" customFormat="1" ht="12" customHeight="1">
      <c r="A64" s="35" t="s">
        <v>77</v>
      </c>
      <c r="B64" s="60" t="s">
        <v>177</v>
      </c>
      <c r="C64" s="61"/>
      <c r="D64" s="61"/>
      <c r="E64" s="37"/>
      <c r="F64" s="39" t="e">
        <f>IF($H$9="fld",VLOOKUP(A64,'price sheet'!$A$3:$F$162,2,FALSE),IF($H$9="ret",VLOOKUP(A64,'price sheet'!$A$3:$F$162,3,FALSE),IF($H$9="afl",VLOOKUP(A64,'price sheet'!$A$3:$F$162,4,FALSE),VLOOKUP(A64,'price sheet'!$A$3:$F$162,3,FALSE))))</f>
        <v>#N/A</v>
      </c>
      <c r="G64" s="5"/>
      <c r="H64" s="40" t="e">
        <f t="shared" si="15"/>
        <v>#N/A</v>
      </c>
      <c r="I64" s="123"/>
      <c r="L64" s="19">
        <f t="shared" si="16"/>
        <v>0</v>
      </c>
      <c r="M64" s="19">
        <f t="shared" si="17"/>
        <v>0</v>
      </c>
      <c r="N64" s="19">
        <f t="shared" si="18"/>
        <v>0</v>
      </c>
      <c r="O64" s="117">
        <f t="shared" si="19"/>
        <v>0</v>
      </c>
    </row>
    <row r="65" spans="1:15" s="41" customFormat="1" ht="12" customHeight="1">
      <c r="A65" s="35" t="s">
        <v>78</v>
      </c>
      <c r="B65" s="60" t="s">
        <v>178</v>
      </c>
      <c r="C65" s="61"/>
      <c r="D65" s="61"/>
      <c r="E65" s="37"/>
      <c r="F65" s="39" t="e">
        <f>IF($H$9="fld",VLOOKUP(A65,'price sheet'!$A$3:$F$162,2,FALSE),IF($H$9="ret",VLOOKUP(A65,'price sheet'!$A$3:$F$162,3,FALSE),IF($H$9="afl",VLOOKUP(A65,'price sheet'!$A$3:$F$162,4,FALSE),VLOOKUP(A65,'price sheet'!$A$3:$F$162,3,FALSE))))</f>
        <v>#N/A</v>
      </c>
      <c r="G65" s="5"/>
      <c r="H65" s="40" t="e">
        <f t="shared" si="15"/>
        <v>#N/A</v>
      </c>
      <c r="I65" s="123"/>
      <c r="L65" s="19">
        <f t="shared" si="16"/>
        <v>0</v>
      </c>
      <c r="M65" s="19">
        <f t="shared" si="17"/>
        <v>0</v>
      </c>
      <c r="N65" s="19">
        <f t="shared" si="18"/>
        <v>0</v>
      </c>
      <c r="O65" s="117">
        <f t="shared" si="19"/>
        <v>0</v>
      </c>
    </row>
    <row r="66" spans="1:15" s="41" customFormat="1" ht="12" customHeight="1">
      <c r="A66" s="35" t="s">
        <v>79</v>
      </c>
      <c r="B66" s="60" t="s">
        <v>179</v>
      </c>
      <c r="C66" s="61"/>
      <c r="D66" s="61"/>
      <c r="E66" s="37"/>
      <c r="F66" s="39" t="e">
        <f>IF($H$9="fld",VLOOKUP(A66,'price sheet'!$A$3:$F$162,2,FALSE),IF($H$9="ret",VLOOKUP(A66,'price sheet'!$A$3:$F$162,3,FALSE),IF($H$9="afl",VLOOKUP(A66,'price sheet'!$A$3:$F$162,4,FALSE),VLOOKUP(A66,'price sheet'!$A$3:$F$162,3,FALSE))))</f>
        <v>#N/A</v>
      </c>
      <c r="G66" s="5"/>
      <c r="H66" s="40" t="e">
        <f t="shared" si="15"/>
        <v>#N/A</v>
      </c>
      <c r="I66" s="123"/>
      <c r="L66" s="19">
        <f t="shared" si="16"/>
        <v>0</v>
      </c>
      <c r="M66" s="19">
        <f t="shared" si="17"/>
        <v>0</v>
      </c>
      <c r="N66" s="19">
        <f t="shared" si="18"/>
        <v>0</v>
      </c>
      <c r="O66" s="117">
        <f t="shared" si="19"/>
        <v>0</v>
      </c>
    </row>
    <row r="67" spans="1:15" s="41" customFormat="1" ht="12" customHeight="1">
      <c r="A67" s="35" t="s">
        <v>80</v>
      </c>
      <c r="B67" s="60" t="s">
        <v>83</v>
      </c>
      <c r="C67" s="61"/>
      <c r="D67" s="61"/>
      <c r="E67" s="37"/>
      <c r="F67" s="39">
        <f>IF($H$9="fld",VLOOKUP(A67,'price sheet'!$A$3:$F$162,2,FALSE),IF($H$9="ret",VLOOKUP(A67,'price sheet'!$A$3:$F$162,3,FALSE),IF($H$9="afl",VLOOKUP(A67,'price sheet'!$A$3:$F$162,4,FALSE),VLOOKUP(A67,'price sheet'!$A$3:$F$162,3,FALSE))))</f>
        <v>3.87</v>
      </c>
      <c r="G67" s="5"/>
      <c r="H67" s="40">
        <f t="shared" si="15"/>
        <v>0</v>
      </c>
      <c r="I67" s="123"/>
      <c r="L67" s="19">
        <f t="shared" si="16"/>
        <v>0</v>
      </c>
      <c r="M67" s="19">
        <f t="shared" si="17"/>
        <v>0</v>
      </c>
      <c r="N67" s="19">
        <f t="shared" si="18"/>
        <v>0</v>
      </c>
      <c r="O67" s="117">
        <f t="shared" si="19"/>
        <v>0</v>
      </c>
    </row>
    <row r="68" spans="1:15" s="41" customFormat="1" ht="12" customHeight="1">
      <c r="A68" s="35" t="s">
        <v>84</v>
      </c>
      <c r="B68" s="60" t="s">
        <v>85</v>
      </c>
      <c r="C68" s="61"/>
      <c r="D68" s="61"/>
      <c r="E68" s="37"/>
      <c r="F68" s="39" t="e">
        <f>IF($H$9="fld",VLOOKUP(A68,'price sheet'!$A$3:$F$162,2,FALSE),IF($H$9="ret",VLOOKUP(A68,'price sheet'!$A$3:$F$162,3,FALSE),IF($H$9="afl",VLOOKUP(A68,'price sheet'!$A$3:$F$162,4,FALSE),VLOOKUP(A68,'price sheet'!$A$3:$F$162,3,FALSE))))</f>
        <v>#N/A</v>
      </c>
      <c r="G68" s="5"/>
      <c r="H68" s="40" t="e">
        <f t="shared" si="15"/>
        <v>#N/A</v>
      </c>
      <c r="I68" s="123"/>
      <c r="L68" s="19">
        <f t="shared" si="16"/>
        <v>0</v>
      </c>
      <c r="M68" s="19">
        <f t="shared" si="17"/>
        <v>0</v>
      </c>
      <c r="N68" s="19">
        <f t="shared" si="18"/>
        <v>0</v>
      </c>
      <c r="O68" s="117">
        <f t="shared" si="19"/>
        <v>0</v>
      </c>
    </row>
    <row r="69" spans="1:15" s="41" customFormat="1" ht="12" customHeight="1">
      <c r="A69" s="35" t="s">
        <v>188</v>
      </c>
      <c r="B69" s="60" t="s">
        <v>190</v>
      </c>
      <c r="C69" s="61"/>
      <c r="D69" s="61"/>
      <c r="E69" s="37"/>
      <c r="F69" s="39" t="e">
        <f>IF($H$9="fld",VLOOKUP(A69,'price sheet'!$A$3:$F$162,2,FALSE),IF($H$9="ret",VLOOKUP(A69,'price sheet'!$A$3:$F$162,3,FALSE),IF($H$9="afl",VLOOKUP(A69,'price sheet'!$A$3:$F$162,4,FALSE),VLOOKUP(A69,'price sheet'!$A$3:$F$162,3,FALSE))))</f>
        <v>#N/A</v>
      </c>
      <c r="G69" s="5"/>
      <c r="H69" s="40" t="e">
        <f t="shared" si="15"/>
        <v>#N/A</v>
      </c>
      <c r="I69" s="123"/>
      <c r="L69" s="19">
        <f t="shared" si="16"/>
        <v>0</v>
      </c>
      <c r="M69" s="19">
        <f t="shared" si="17"/>
        <v>0</v>
      </c>
      <c r="N69" s="19">
        <f t="shared" si="18"/>
        <v>0</v>
      </c>
      <c r="O69" s="117">
        <f t="shared" si="19"/>
        <v>0</v>
      </c>
    </row>
    <row r="70" spans="1:15" s="41" customFormat="1" ht="12" customHeight="1">
      <c r="A70" s="35" t="s">
        <v>189</v>
      </c>
      <c r="B70" s="60" t="s">
        <v>191</v>
      </c>
      <c r="C70" s="61"/>
      <c r="D70" s="61"/>
      <c r="E70" s="37"/>
      <c r="F70" s="39" t="e">
        <f>IF($H$9="fld",VLOOKUP(A70,'price sheet'!$A$3:$F$162,2,FALSE),IF($H$9="ret",VLOOKUP(A70,'price sheet'!$A$3:$F$162,3,FALSE),IF($H$9="afl",VLOOKUP(A70,'price sheet'!$A$3:$F$162,4,FALSE),VLOOKUP(A70,'price sheet'!$A$3:$F$162,3,FALSE))))</f>
        <v>#N/A</v>
      </c>
      <c r="G70" s="5"/>
      <c r="H70" s="40" t="e">
        <f t="shared" si="15"/>
        <v>#N/A</v>
      </c>
      <c r="I70" s="123"/>
      <c r="L70" s="19">
        <f t="shared" si="16"/>
        <v>0</v>
      </c>
      <c r="M70" s="19">
        <f t="shared" si="17"/>
        <v>0</v>
      </c>
      <c r="N70" s="19">
        <f t="shared" si="18"/>
        <v>0</v>
      </c>
      <c r="O70" s="117">
        <f t="shared" si="19"/>
        <v>0</v>
      </c>
    </row>
    <row r="71" spans="1:15" s="41" customFormat="1" ht="12.75" customHeight="1">
      <c r="A71" s="142"/>
      <c r="B71" s="48"/>
      <c r="C71" s="43"/>
      <c r="D71" s="43"/>
      <c r="E71" s="105"/>
      <c r="F71" s="143"/>
      <c r="G71" s="44" t="s">
        <v>63</v>
      </c>
      <c r="H71" s="46" t="e">
        <f>SUM(H54:H70)</f>
        <v>#N/A</v>
      </c>
      <c r="I71" s="124"/>
      <c r="J71" s="19"/>
      <c r="K71" s="19"/>
      <c r="L71" s="19"/>
      <c r="O71" s="119"/>
    </row>
    <row r="72" spans="1:15" s="33" customFormat="1" ht="15">
      <c r="A72" s="47" t="s">
        <v>65</v>
      </c>
      <c r="B72" s="54" t="s">
        <v>87</v>
      </c>
      <c r="C72" s="55"/>
      <c r="D72" s="55"/>
      <c r="E72" s="29"/>
      <c r="F72" s="39" t="s">
        <v>142</v>
      </c>
      <c r="G72" s="56"/>
      <c r="H72" s="57"/>
      <c r="I72" s="112"/>
      <c r="L72" s="34">
        <v>0.15</v>
      </c>
      <c r="M72" s="34">
        <v>0.25</v>
      </c>
      <c r="N72" s="34">
        <v>0.3</v>
      </c>
      <c r="O72" s="118" t="s">
        <v>22</v>
      </c>
    </row>
    <row r="73" spans="1:15" s="19" customFormat="1" ht="12" customHeight="1">
      <c r="A73" s="35" t="s">
        <v>88</v>
      </c>
      <c r="B73" s="58" t="s">
        <v>180</v>
      </c>
      <c r="C73" s="60"/>
      <c r="D73" s="61"/>
      <c r="E73" s="20"/>
      <c r="F73" s="39">
        <f>IF($H$9="fld",VLOOKUP(A73,'price sheet'!$A$3:$F$162,2,FALSE),IF($H$9="ret",VLOOKUP(A73,'price sheet'!$A$3:$F$162,3,FALSE),IF($H$9="afl",VLOOKUP(A73,'price sheet'!$A$3:$F$162,4,FALSE),VLOOKUP(A73,'price sheet'!$A$3:$F$162,3,FALSE))))</f>
        <v>2.5350000000000001</v>
      </c>
      <c r="G73" s="5"/>
      <c r="H73" s="40">
        <f t="shared" ref="H73:H80" si="20">F73*G73</f>
        <v>0</v>
      </c>
      <c r="I73" s="124"/>
      <c r="L73" s="19">
        <f t="shared" ref="L73:L80" si="21">IF($H$9="ret",IF(G73&gt;9,H73*15%,0),0)</f>
        <v>0</v>
      </c>
      <c r="M73" s="19">
        <f t="shared" ref="M73:M80" si="22">IF($H$9="ret",IF(G73&gt;50,H73*10%,0),0)</f>
        <v>0</v>
      </c>
      <c r="N73" s="19">
        <f t="shared" ref="N73:N80" si="23">IF($H$9="ret",IF(G73&gt;100,H73*5%,0),0)</f>
        <v>0</v>
      </c>
      <c r="O73" s="117">
        <f t="shared" ref="O73:O80" si="24">IF($H$9="fld",IF(I73&gt;0,H73*$G$205,0),SUM(L73:N73))</f>
        <v>0</v>
      </c>
    </row>
    <row r="74" spans="1:15" s="19" customFormat="1" ht="12" customHeight="1">
      <c r="A74" s="35" t="s">
        <v>89</v>
      </c>
      <c r="B74" s="58" t="s">
        <v>99</v>
      </c>
      <c r="C74" s="60"/>
      <c r="D74" s="61"/>
      <c r="E74" s="20"/>
      <c r="F74" s="39">
        <f>IF($H$9="fld",VLOOKUP(A74,'price sheet'!$A$3:$F$162,2,FALSE),IF($H$9="ret",VLOOKUP(A74,'price sheet'!$A$3:$F$162,3,FALSE),IF($H$9="afl",VLOOKUP(A74,'price sheet'!$A$3:$F$162,4,FALSE),VLOOKUP(A74,'price sheet'!$A$3:$F$162,3,FALSE))))</f>
        <v>2.5350000000000001</v>
      </c>
      <c r="G74" s="5"/>
      <c r="H74" s="40">
        <f t="shared" si="20"/>
        <v>0</v>
      </c>
      <c r="I74" s="123"/>
      <c r="J74" s="41"/>
      <c r="K74" s="41"/>
      <c r="L74" s="19">
        <f t="shared" si="21"/>
        <v>0</v>
      </c>
      <c r="M74" s="19">
        <f t="shared" si="22"/>
        <v>0</v>
      </c>
      <c r="N74" s="19">
        <f t="shared" si="23"/>
        <v>0</v>
      </c>
      <c r="O74" s="117">
        <f t="shared" si="24"/>
        <v>0</v>
      </c>
    </row>
    <row r="75" spans="1:15" s="19" customFormat="1" ht="12" customHeight="1">
      <c r="A75" s="35" t="s">
        <v>90</v>
      </c>
      <c r="B75" s="58" t="s">
        <v>100</v>
      </c>
      <c r="C75" s="60"/>
      <c r="D75" s="61"/>
      <c r="E75" s="20"/>
      <c r="F75" s="39">
        <f>IF($H$9="fld",VLOOKUP(A75,'price sheet'!$A$3:$F$162,2,FALSE),IF($H$9="ret",VLOOKUP(A75,'price sheet'!$A$3:$F$162,3,FALSE),IF($H$9="afl",VLOOKUP(A75,'price sheet'!$A$3:$F$162,4,FALSE),VLOOKUP(A75,'price sheet'!$A$3:$F$162,3,FALSE))))</f>
        <v>2.5350000000000001</v>
      </c>
      <c r="G75" s="5"/>
      <c r="H75" s="40">
        <f t="shared" si="20"/>
        <v>0</v>
      </c>
      <c r="I75" s="123"/>
      <c r="J75" s="41"/>
      <c r="K75" s="41"/>
      <c r="L75" s="19">
        <f t="shared" si="21"/>
        <v>0</v>
      </c>
      <c r="M75" s="19">
        <f t="shared" si="22"/>
        <v>0</v>
      </c>
      <c r="N75" s="19">
        <f t="shared" si="23"/>
        <v>0</v>
      </c>
      <c r="O75" s="117">
        <f t="shared" si="24"/>
        <v>0</v>
      </c>
    </row>
    <row r="76" spans="1:15" s="41" customFormat="1" ht="12" customHeight="1">
      <c r="A76" s="35" t="s">
        <v>91</v>
      </c>
      <c r="B76" s="58" t="s">
        <v>101</v>
      </c>
      <c r="C76" s="60"/>
      <c r="D76" s="61"/>
      <c r="E76" s="38"/>
      <c r="F76" s="39">
        <f>IF($H$9="fld",VLOOKUP(A76,'price sheet'!$A$3:$F$162,2,FALSE),IF($H$9="ret",VLOOKUP(A76,'price sheet'!$A$3:$F$162,3,FALSE),IF($H$9="afl",VLOOKUP(A76,'price sheet'!$A$3:$F$162,4,FALSE),VLOOKUP(A76,'price sheet'!$A$3:$F$162,3,FALSE))))</f>
        <v>2.5350000000000001</v>
      </c>
      <c r="G76" s="5"/>
      <c r="H76" s="40">
        <f t="shared" si="20"/>
        <v>0</v>
      </c>
      <c r="I76" s="123"/>
      <c r="L76" s="19">
        <f t="shared" si="21"/>
        <v>0</v>
      </c>
      <c r="M76" s="19">
        <f t="shared" si="22"/>
        <v>0</v>
      </c>
      <c r="N76" s="19">
        <f t="shared" si="23"/>
        <v>0</v>
      </c>
      <c r="O76" s="117">
        <f t="shared" si="24"/>
        <v>0</v>
      </c>
    </row>
    <row r="77" spans="1:15" s="41" customFormat="1" ht="12" customHeight="1">
      <c r="A77" s="35" t="s">
        <v>92</v>
      </c>
      <c r="B77" s="58" t="s">
        <v>102</v>
      </c>
      <c r="C77" s="60"/>
      <c r="D77" s="61"/>
      <c r="E77" s="38"/>
      <c r="F77" s="39">
        <f>IF($H$9="fld",VLOOKUP(A77,'price sheet'!$A$3:$F$162,2,FALSE),IF($H$9="ret",VLOOKUP(A77,'price sheet'!$A$3:$F$162,3,FALSE),IF($H$9="afl",VLOOKUP(A77,'price sheet'!$A$3:$F$162,4,FALSE),VLOOKUP(A77,'price sheet'!$A$3:$F$162,3,FALSE))))</f>
        <v>2.5350000000000001</v>
      </c>
      <c r="G77" s="5"/>
      <c r="H77" s="40">
        <f t="shared" si="20"/>
        <v>0</v>
      </c>
      <c r="I77" s="123"/>
      <c r="L77" s="19">
        <f t="shared" si="21"/>
        <v>0</v>
      </c>
      <c r="M77" s="19">
        <f t="shared" si="22"/>
        <v>0</v>
      </c>
      <c r="N77" s="19">
        <f t="shared" si="23"/>
        <v>0</v>
      </c>
      <c r="O77" s="117">
        <f t="shared" si="24"/>
        <v>0</v>
      </c>
    </row>
    <row r="78" spans="1:15" s="41" customFormat="1" ht="12" customHeight="1">
      <c r="A78" s="35" t="s">
        <v>93</v>
      </c>
      <c r="B78" s="58" t="s">
        <v>103</v>
      </c>
      <c r="C78" s="60"/>
      <c r="D78" s="61"/>
      <c r="E78" s="38"/>
      <c r="F78" s="39">
        <f>IF($H$9="fld",VLOOKUP(A78,'price sheet'!$A$3:$F$162,2,FALSE),IF($H$9="ret",VLOOKUP(A78,'price sheet'!$A$3:$F$162,3,FALSE),IF($H$9="afl",VLOOKUP(A78,'price sheet'!$A$3:$F$162,4,FALSE),VLOOKUP(A78,'price sheet'!$A$3:$F$162,3,FALSE))))</f>
        <v>2.5350000000000001</v>
      </c>
      <c r="G78" s="5"/>
      <c r="H78" s="40">
        <f t="shared" si="20"/>
        <v>0</v>
      </c>
      <c r="I78" s="123"/>
      <c r="L78" s="19">
        <f t="shared" si="21"/>
        <v>0</v>
      </c>
      <c r="M78" s="19">
        <f t="shared" si="22"/>
        <v>0</v>
      </c>
      <c r="N78" s="19">
        <f t="shared" si="23"/>
        <v>0</v>
      </c>
      <c r="O78" s="117">
        <f t="shared" si="24"/>
        <v>0</v>
      </c>
    </row>
    <row r="79" spans="1:15" s="41" customFormat="1" ht="12" customHeight="1">
      <c r="A79" s="35" t="s">
        <v>94</v>
      </c>
      <c r="B79" s="58" t="s">
        <v>104</v>
      </c>
      <c r="C79" s="60"/>
      <c r="D79" s="61"/>
      <c r="E79" s="38"/>
      <c r="F79" s="39">
        <f>IF($H$9="fld",VLOOKUP(A79,'price sheet'!$A$3:$F$162,2,FALSE),IF($H$9="ret",VLOOKUP(A79,'price sheet'!$A$3:$F$162,3,FALSE),IF($H$9="afl",VLOOKUP(A79,'price sheet'!$A$3:$F$162,4,FALSE),VLOOKUP(A79,'price sheet'!$A$3:$F$162,3,FALSE))))</f>
        <v>2.5350000000000001</v>
      </c>
      <c r="G79" s="5"/>
      <c r="H79" s="40">
        <f t="shared" si="20"/>
        <v>0</v>
      </c>
      <c r="I79" s="123"/>
      <c r="L79" s="19">
        <f t="shared" si="21"/>
        <v>0</v>
      </c>
      <c r="M79" s="19">
        <f t="shared" si="22"/>
        <v>0</v>
      </c>
      <c r="N79" s="19">
        <f t="shared" si="23"/>
        <v>0</v>
      </c>
      <c r="O79" s="117">
        <f t="shared" si="24"/>
        <v>0</v>
      </c>
    </row>
    <row r="80" spans="1:15" s="41" customFormat="1" ht="12" customHeight="1">
      <c r="A80" s="35" t="s">
        <v>95</v>
      </c>
      <c r="B80" s="58" t="s">
        <v>105</v>
      </c>
      <c r="C80" s="60"/>
      <c r="D80" s="61"/>
      <c r="E80" s="38"/>
      <c r="F80" s="39">
        <f>IF($H$9="fld",VLOOKUP(A80,'price sheet'!$A$3:$F$162,2,FALSE),IF($H$9="ret",VLOOKUP(A80,'price sheet'!$A$3:$F$162,3,FALSE),IF($H$9="afl",VLOOKUP(A80,'price sheet'!$A$3:$F$162,4,FALSE),VLOOKUP(A80,'price sheet'!$A$3:$F$162,3,FALSE))))</f>
        <v>2.5350000000000001</v>
      </c>
      <c r="G80" s="5"/>
      <c r="H80" s="40">
        <f t="shared" si="20"/>
        <v>0</v>
      </c>
      <c r="I80" s="123"/>
      <c r="L80" s="19">
        <f t="shared" si="21"/>
        <v>0</v>
      </c>
      <c r="M80" s="19">
        <f t="shared" si="22"/>
        <v>0</v>
      </c>
      <c r="N80" s="19">
        <f t="shared" si="23"/>
        <v>0</v>
      </c>
      <c r="O80" s="117">
        <f t="shared" si="24"/>
        <v>0</v>
      </c>
    </row>
    <row r="81" spans="1:15" s="41" customFormat="1" ht="12.75" customHeight="1">
      <c r="A81" s="142"/>
      <c r="B81" s="48"/>
      <c r="C81" s="43"/>
      <c r="D81" s="106"/>
      <c r="E81" s="45"/>
      <c r="F81" s="143"/>
      <c r="G81" s="44" t="s">
        <v>63</v>
      </c>
      <c r="H81" s="46">
        <f>SUM(H73:H80)</f>
        <v>0</v>
      </c>
      <c r="I81" s="124"/>
      <c r="J81" s="19"/>
      <c r="K81" s="19"/>
      <c r="L81" s="19"/>
      <c r="O81" s="119"/>
    </row>
    <row r="82" spans="1:15" s="33" customFormat="1" ht="15">
      <c r="A82" s="47" t="s">
        <v>65</v>
      </c>
      <c r="B82" s="59" t="s">
        <v>106</v>
      </c>
      <c r="C82" s="54"/>
      <c r="D82" s="55"/>
      <c r="E82" s="29"/>
      <c r="F82" s="39" t="s">
        <v>142</v>
      </c>
      <c r="G82" s="56"/>
      <c r="H82" s="57"/>
      <c r="I82" s="112"/>
      <c r="L82" s="34">
        <v>0.15</v>
      </c>
      <c r="M82" s="34">
        <v>0.25</v>
      </c>
      <c r="N82" s="34">
        <v>0.3</v>
      </c>
      <c r="O82" s="118" t="s">
        <v>22</v>
      </c>
    </row>
    <row r="83" spans="1:15" s="41" customFormat="1" ht="12" customHeight="1">
      <c r="A83" s="35" t="s">
        <v>107</v>
      </c>
      <c r="B83" s="58" t="s">
        <v>126</v>
      </c>
      <c r="C83" s="60"/>
      <c r="D83" s="61"/>
      <c r="E83" s="38"/>
      <c r="F83" s="39">
        <f>IF($H$9="fld",VLOOKUP(A83,'price sheet'!$A$3:$F$162,2,FALSE),IF($H$9="ret",VLOOKUP(A83,'price sheet'!$A$3:$F$162,3,FALSE),IF($H$9="afl",VLOOKUP(A83,'price sheet'!$A$3:$F$162,4,FALSE),VLOOKUP(A83,'price sheet'!$A$3:$F$162,3,FALSE))))</f>
        <v>5.17</v>
      </c>
      <c r="G83" s="5"/>
      <c r="H83" s="40">
        <f t="shared" ref="H83:H107" si="25">F83*G83</f>
        <v>0</v>
      </c>
      <c r="I83" s="123"/>
      <c r="L83" s="19">
        <f t="shared" ref="L83:L107" si="26">IF($H$9="ret",IF(G83&gt;9,H83*15%,0),0)</f>
        <v>0</v>
      </c>
      <c r="M83" s="19">
        <f t="shared" ref="M83:M107" si="27">IF($H$9="ret",IF(G83&gt;50,H83*10%,0),0)</f>
        <v>0</v>
      </c>
      <c r="N83" s="19">
        <f t="shared" ref="N83:N107" si="28">IF($H$9="ret",IF(G83&gt;100,H83*5%,0),0)</f>
        <v>0</v>
      </c>
      <c r="O83" s="117">
        <f>IF($H$9="fld",IF(I83&gt;0,H83*$G$205,0),SUM(L83:N83))</f>
        <v>0</v>
      </c>
    </row>
    <row r="84" spans="1:15" s="19" customFormat="1" ht="12" customHeight="1">
      <c r="A84" s="35" t="s">
        <v>108</v>
      </c>
      <c r="B84" s="58" t="s">
        <v>127</v>
      </c>
      <c r="C84" s="60"/>
      <c r="D84" s="61"/>
      <c r="E84" s="20"/>
      <c r="F84" s="39">
        <f>IF($H$9="fld",VLOOKUP(A84,'price sheet'!$A$3:$F$162,2,FALSE),IF($H$9="ret",VLOOKUP(A84,'price sheet'!$A$3:$F$162,3,FALSE),IF($H$9="afl",VLOOKUP(A84,'price sheet'!$A$3:$F$162,4,FALSE),VLOOKUP(A84,'price sheet'!$A$3:$F$162,3,FALSE))))</f>
        <v>8</v>
      </c>
      <c r="G84" s="5"/>
      <c r="H84" s="40">
        <f t="shared" si="25"/>
        <v>0</v>
      </c>
      <c r="I84" s="123"/>
      <c r="J84" s="41"/>
      <c r="K84" s="41"/>
      <c r="L84" s="19">
        <f t="shared" si="26"/>
        <v>0</v>
      </c>
      <c r="M84" s="19">
        <f t="shared" si="27"/>
        <v>0</v>
      </c>
      <c r="N84" s="19">
        <f t="shared" si="28"/>
        <v>0</v>
      </c>
      <c r="O84" s="117">
        <f>IF($H$9="fld",IF(I84&gt;0,H84*$G$205,0),SUM(L84:N84))</f>
        <v>0</v>
      </c>
    </row>
    <row r="85" spans="1:15" s="41" customFormat="1" ht="12" customHeight="1">
      <c r="A85" s="35" t="s">
        <v>109</v>
      </c>
      <c r="B85" s="58" t="s">
        <v>181</v>
      </c>
      <c r="C85" s="60"/>
      <c r="D85" s="61"/>
      <c r="E85" s="38"/>
      <c r="F85" s="39">
        <f>IF($H$9="fld",VLOOKUP(A85,'price sheet'!$A$3:$F$162,2,FALSE),IF($H$9="ret",VLOOKUP(A85,'price sheet'!$A$3:$F$162,3,FALSE),IF($H$9="afl",VLOOKUP(A85,'price sheet'!$A$3:$F$162,4,FALSE),VLOOKUP(A85,'price sheet'!$A$3:$F$162,3,FALSE))))</f>
        <v>8.67</v>
      </c>
      <c r="G85" s="5"/>
      <c r="H85" s="40">
        <f t="shared" si="25"/>
        <v>0</v>
      </c>
      <c r="I85" s="123"/>
      <c r="L85" s="19">
        <f t="shared" si="26"/>
        <v>0</v>
      </c>
      <c r="M85" s="19">
        <f t="shared" si="27"/>
        <v>0</v>
      </c>
      <c r="N85" s="19">
        <f t="shared" si="28"/>
        <v>0</v>
      </c>
      <c r="O85" s="117">
        <f>IF($H$9="fld",IF(I85&gt;0,H85*$G$205,0),SUM(L85:N85))</f>
        <v>0</v>
      </c>
    </row>
    <row r="86" spans="1:15" s="41" customFormat="1" ht="12" customHeight="1">
      <c r="A86" s="35" t="s">
        <v>110</v>
      </c>
      <c r="B86" s="58" t="s">
        <v>359</v>
      </c>
      <c r="C86" s="60"/>
      <c r="D86" s="61"/>
      <c r="E86" s="38"/>
      <c r="F86" s="39">
        <f>IF($H$9="fld",VLOOKUP(A86,'price sheet'!$A$3:$F$162,2,FALSE),IF($H$9="ret",VLOOKUP(A86,'price sheet'!$A$3:$F$162,3,FALSE),IF($H$9="afl",VLOOKUP(A86,'price sheet'!$A$3:$F$162,4,FALSE),VLOOKUP(A86,'price sheet'!$A$3:$F$162,3,FALSE))))</f>
        <v>2.5350000000000001</v>
      </c>
      <c r="G86" s="5"/>
      <c r="H86" s="40">
        <f t="shared" si="25"/>
        <v>0</v>
      </c>
      <c r="I86" s="123"/>
      <c r="L86" s="19"/>
      <c r="M86" s="19"/>
      <c r="N86" s="19"/>
      <c r="O86" s="117"/>
    </row>
    <row r="87" spans="1:15" s="41" customFormat="1" ht="12" customHeight="1">
      <c r="A87" s="35" t="s">
        <v>111</v>
      </c>
      <c r="B87" s="58" t="s">
        <v>128</v>
      </c>
      <c r="C87" s="60"/>
      <c r="D87" s="61"/>
      <c r="E87" s="38"/>
      <c r="F87" s="39">
        <f>IF($H$9="fld",VLOOKUP(A87,'price sheet'!$A$3:$F$162,2,FALSE),IF($H$9="ret",VLOOKUP(A87,'price sheet'!$A$3:$F$162,3,FALSE),IF($H$9="afl",VLOOKUP(A87,'price sheet'!$A$3:$F$162,4,FALSE),VLOOKUP(A87,'price sheet'!$A$3:$F$162,3,FALSE))))</f>
        <v>3.335</v>
      </c>
      <c r="G87" s="5"/>
      <c r="H87" s="40">
        <f t="shared" si="25"/>
        <v>0</v>
      </c>
      <c r="I87" s="123"/>
      <c r="L87" s="19">
        <f t="shared" si="26"/>
        <v>0</v>
      </c>
      <c r="M87" s="19">
        <f t="shared" si="27"/>
        <v>0</v>
      </c>
      <c r="N87" s="19">
        <f t="shared" si="28"/>
        <v>0</v>
      </c>
      <c r="O87" s="117">
        <f t="shared" ref="O87:O107" si="29">IF($H$9="fld",IF(I87&gt;0,H87*$G$205,0),SUM(L87:N87))</f>
        <v>0</v>
      </c>
    </row>
    <row r="88" spans="1:15" s="41" customFormat="1" ht="12" customHeight="1">
      <c r="A88" s="35" t="s">
        <v>112</v>
      </c>
      <c r="B88" s="58" t="s">
        <v>192</v>
      </c>
      <c r="C88" s="60"/>
      <c r="D88" s="61"/>
      <c r="E88" s="38"/>
      <c r="F88" s="39">
        <f>IF($H$9="fld",VLOOKUP(A88,'price sheet'!$A$3:$F$162,2,FALSE),IF($H$9="ret",VLOOKUP(A88,'price sheet'!$A$3:$F$162,3,FALSE),IF($H$9="afl",VLOOKUP(A88,'price sheet'!$A$3:$F$162,4,FALSE),VLOOKUP(A88,'price sheet'!$A$3:$F$162,3,FALSE))))</f>
        <v>2.5</v>
      </c>
      <c r="G88" s="5"/>
      <c r="H88" s="40">
        <f t="shared" si="25"/>
        <v>0</v>
      </c>
      <c r="I88" s="123"/>
      <c r="L88" s="19">
        <f t="shared" si="26"/>
        <v>0</v>
      </c>
      <c r="M88" s="19">
        <f t="shared" si="27"/>
        <v>0</v>
      </c>
      <c r="N88" s="19">
        <f t="shared" si="28"/>
        <v>0</v>
      </c>
      <c r="O88" s="117">
        <f t="shared" si="29"/>
        <v>0</v>
      </c>
    </row>
    <row r="89" spans="1:15" s="41" customFormat="1" ht="12" customHeight="1">
      <c r="A89" s="35" t="s">
        <v>113</v>
      </c>
      <c r="B89" s="35" t="s">
        <v>193</v>
      </c>
      <c r="C89" s="36"/>
      <c r="D89" s="37"/>
      <c r="E89" s="38"/>
      <c r="F89" s="39">
        <f>IF($H$9="fld",VLOOKUP(A89,'price sheet'!$A$3:$F$162,2,FALSE),IF($H$9="ret",VLOOKUP(A89,'price sheet'!$A$3:$F$162,3,FALSE),IF($H$9="afl",VLOOKUP(A89,'price sheet'!$A$3:$F$162,4,FALSE),VLOOKUP(A89,'price sheet'!$A$3:$F$162,3,FALSE))))</f>
        <v>2.17</v>
      </c>
      <c r="G89" s="5"/>
      <c r="H89" s="40">
        <f t="shared" si="25"/>
        <v>0</v>
      </c>
      <c r="I89" s="123"/>
      <c r="L89" s="19">
        <f t="shared" si="26"/>
        <v>0</v>
      </c>
      <c r="M89" s="19">
        <f t="shared" si="27"/>
        <v>0</v>
      </c>
      <c r="N89" s="19">
        <f t="shared" si="28"/>
        <v>0</v>
      </c>
      <c r="O89" s="117">
        <f t="shared" si="29"/>
        <v>0</v>
      </c>
    </row>
    <row r="90" spans="1:15" s="41" customFormat="1" ht="12" customHeight="1">
      <c r="A90" s="35" t="s">
        <v>114</v>
      </c>
      <c r="B90" s="58" t="s">
        <v>129</v>
      </c>
      <c r="C90" s="60"/>
      <c r="D90" s="61"/>
      <c r="E90" s="38"/>
      <c r="F90" s="39">
        <f>IF($H$9="fld",VLOOKUP(A90,'price sheet'!$A$3:$F$162,2,FALSE),IF($H$9="ret",VLOOKUP(A90,'price sheet'!$A$3:$F$162,3,FALSE),IF($H$9="afl",VLOOKUP(A90,'price sheet'!$A$3:$F$162,4,FALSE),VLOOKUP(A90,'price sheet'!$A$3:$F$162,3,FALSE))))</f>
        <v>0</v>
      </c>
      <c r="G90" s="5"/>
      <c r="H90" s="40">
        <f t="shared" si="25"/>
        <v>0</v>
      </c>
      <c r="I90" s="123"/>
      <c r="L90" s="19">
        <f t="shared" si="26"/>
        <v>0</v>
      </c>
      <c r="M90" s="19">
        <f t="shared" si="27"/>
        <v>0</v>
      </c>
      <c r="N90" s="19">
        <f t="shared" si="28"/>
        <v>0</v>
      </c>
      <c r="O90" s="117">
        <f t="shared" si="29"/>
        <v>0</v>
      </c>
    </row>
    <row r="91" spans="1:15" s="41" customFormat="1" ht="12" customHeight="1">
      <c r="A91" s="35" t="s">
        <v>115</v>
      </c>
      <c r="B91" s="58" t="s">
        <v>130</v>
      </c>
      <c r="C91" s="60"/>
      <c r="D91" s="61"/>
      <c r="E91" s="38"/>
      <c r="F91" s="39">
        <f>IF($H$9="fld",VLOOKUP(A91,'price sheet'!$A$3:$F$162,2,FALSE),IF($H$9="ret",VLOOKUP(A91,'price sheet'!$A$3:$F$162,3,FALSE),IF($H$9="afl",VLOOKUP(A91,'price sheet'!$A$3:$F$162,4,FALSE),VLOOKUP(A91,'price sheet'!$A$3:$F$162,3,FALSE))))</f>
        <v>3.8</v>
      </c>
      <c r="G91" s="5"/>
      <c r="H91" s="40">
        <f t="shared" si="25"/>
        <v>0</v>
      </c>
      <c r="I91" s="123"/>
      <c r="L91" s="19">
        <f t="shared" si="26"/>
        <v>0</v>
      </c>
      <c r="M91" s="19">
        <f t="shared" si="27"/>
        <v>0</v>
      </c>
      <c r="N91" s="19">
        <f t="shared" si="28"/>
        <v>0</v>
      </c>
      <c r="O91" s="117">
        <f t="shared" si="29"/>
        <v>0</v>
      </c>
    </row>
    <row r="92" spans="1:15" s="41" customFormat="1" ht="12" customHeight="1">
      <c r="A92" s="35" t="s">
        <v>116</v>
      </c>
      <c r="B92" s="60" t="s">
        <v>131</v>
      </c>
      <c r="C92" s="61"/>
      <c r="D92" s="61"/>
      <c r="E92" s="38"/>
      <c r="F92" s="39" t="e">
        <f>IF($H$9="fld",VLOOKUP(A92,'price sheet'!$A$3:$F$162,2,FALSE),IF($H$9="ret",VLOOKUP(A92,'price sheet'!$A$3:$F$162,3,FALSE),IF($H$9="afl",VLOOKUP(A92,'price sheet'!$A$3:$F$162,4,FALSE),VLOOKUP(A92,'price sheet'!$A$3:$F$162,3,FALSE))))</f>
        <v>#N/A</v>
      </c>
      <c r="G92" s="5"/>
      <c r="H92" s="40" t="e">
        <f t="shared" si="25"/>
        <v>#N/A</v>
      </c>
      <c r="I92" s="123"/>
      <c r="L92" s="19">
        <f t="shared" si="26"/>
        <v>0</v>
      </c>
      <c r="M92" s="19">
        <f t="shared" si="27"/>
        <v>0</v>
      </c>
      <c r="N92" s="19">
        <f t="shared" si="28"/>
        <v>0</v>
      </c>
      <c r="O92" s="117">
        <f t="shared" si="29"/>
        <v>0</v>
      </c>
    </row>
    <row r="93" spans="1:15" s="41" customFormat="1" ht="12" customHeight="1">
      <c r="A93" s="35" t="s">
        <v>117</v>
      </c>
      <c r="B93" s="60" t="s">
        <v>132</v>
      </c>
      <c r="C93" s="61"/>
      <c r="D93" s="61"/>
      <c r="E93" s="38"/>
      <c r="F93" s="39">
        <f>IF($H$9="fld",VLOOKUP(A93,'price sheet'!$A$3:$F$162,2,FALSE),IF($H$9="ret",VLOOKUP(A93,'price sheet'!$A$3:$F$162,3,FALSE),IF($H$9="afl",VLOOKUP(A93,'price sheet'!$A$3:$F$162,4,FALSE),VLOOKUP(A93,'price sheet'!$A$3:$F$162,3,FALSE))))</f>
        <v>8</v>
      </c>
      <c r="G93" s="5"/>
      <c r="H93" s="40">
        <f t="shared" si="25"/>
        <v>0</v>
      </c>
      <c r="I93" s="123"/>
      <c r="L93" s="19">
        <f t="shared" si="26"/>
        <v>0</v>
      </c>
      <c r="M93" s="19">
        <f t="shared" si="27"/>
        <v>0</v>
      </c>
      <c r="N93" s="19">
        <f t="shared" si="28"/>
        <v>0</v>
      </c>
      <c r="O93" s="117">
        <f t="shared" si="29"/>
        <v>0</v>
      </c>
    </row>
    <row r="94" spans="1:15" s="41" customFormat="1" ht="12" customHeight="1">
      <c r="A94" s="35" t="s">
        <v>118</v>
      </c>
      <c r="B94" s="60" t="s">
        <v>133</v>
      </c>
      <c r="C94" s="61"/>
      <c r="D94" s="61"/>
      <c r="E94" s="38"/>
      <c r="F94" s="39">
        <f>IF($H$9="fld",VLOOKUP(A94,'price sheet'!$A$3:$F$162,2,FALSE),IF($H$9="ret",VLOOKUP(A94,'price sheet'!$A$3:$F$162,3,FALSE),IF($H$9="afl",VLOOKUP(A94,'price sheet'!$A$3:$F$162,4,FALSE),VLOOKUP(A94,'price sheet'!$A$3:$F$162,3,FALSE))))</f>
        <v>0</v>
      </c>
      <c r="G94" s="5"/>
      <c r="H94" s="40">
        <f t="shared" si="25"/>
        <v>0</v>
      </c>
      <c r="I94" s="123"/>
      <c r="L94" s="19">
        <f t="shared" si="26"/>
        <v>0</v>
      </c>
      <c r="M94" s="19">
        <f t="shared" si="27"/>
        <v>0</v>
      </c>
      <c r="N94" s="19">
        <f t="shared" si="28"/>
        <v>0</v>
      </c>
      <c r="O94" s="117">
        <f t="shared" si="29"/>
        <v>0</v>
      </c>
    </row>
    <row r="95" spans="1:15" s="41" customFormat="1" ht="12" customHeight="1">
      <c r="A95" s="35" t="s">
        <v>119</v>
      </c>
      <c r="B95" s="58" t="s">
        <v>134</v>
      </c>
      <c r="C95" s="60"/>
      <c r="D95" s="61"/>
      <c r="E95" s="38"/>
      <c r="F95" s="39">
        <f>IF($H$9="fld",VLOOKUP(A95,'price sheet'!$A$3:$F$162,2,FALSE),IF($H$9="ret",VLOOKUP(A95,'price sheet'!$A$3:$F$162,3,FALSE),IF($H$9="afl",VLOOKUP(A95,'price sheet'!$A$3:$F$162,4,FALSE),VLOOKUP(A95,'price sheet'!$A$3:$F$162,3,FALSE))))</f>
        <v>0</v>
      </c>
      <c r="G95" s="5"/>
      <c r="H95" s="40">
        <f t="shared" si="25"/>
        <v>0</v>
      </c>
      <c r="I95" s="123"/>
      <c r="L95" s="19">
        <f t="shared" si="26"/>
        <v>0</v>
      </c>
      <c r="M95" s="19">
        <f t="shared" si="27"/>
        <v>0</v>
      </c>
      <c r="N95" s="19">
        <f t="shared" si="28"/>
        <v>0</v>
      </c>
      <c r="O95" s="117">
        <f t="shared" si="29"/>
        <v>0</v>
      </c>
    </row>
    <row r="96" spans="1:15" s="41" customFormat="1" ht="12" customHeight="1">
      <c r="A96" s="35" t="s">
        <v>120</v>
      </c>
      <c r="B96" s="58" t="s">
        <v>135</v>
      </c>
      <c r="C96" s="60"/>
      <c r="D96" s="61"/>
      <c r="E96" s="38"/>
      <c r="F96" s="39">
        <f>IF($H$9="fld",VLOOKUP(A96,'price sheet'!$A$3:$F$162,2,FALSE),IF($H$9="ret",VLOOKUP(A96,'price sheet'!$A$3:$F$162,3,FALSE),IF($H$9="afl",VLOOKUP(A96,'price sheet'!$A$3:$F$162,4,FALSE),VLOOKUP(A96,'price sheet'!$A$3:$F$162,3,FALSE))))</f>
        <v>4.1900000000000004</v>
      </c>
      <c r="G96" s="5"/>
      <c r="H96" s="40">
        <f t="shared" si="25"/>
        <v>0</v>
      </c>
      <c r="I96" s="123"/>
      <c r="L96" s="19">
        <f t="shared" si="26"/>
        <v>0</v>
      </c>
      <c r="M96" s="19">
        <f t="shared" si="27"/>
        <v>0</v>
      </c>
      <c r="N96" s="19">
        <f t="shared" si="28"/>
        <v>0</v>
      </c>
      <c r="O96" s="117">
        <f t="shared" si="29"/>
        <v>0</v>
      </c>
    </row>
    <row r="97" spans="1:15" s="41" customFormat="1" ht="12" customHeight="1">
      <c r="A97" s="35" t="s">
        <v>121</v>
      </c>
      <c r="B97" s="58" t="s">
        <v>182</v>
      </c>
      <c r="C97" s="60"/>
      <c r="D97" s="61"/>
      <c r="E97" s="38"/>
      <c r="F97" s="39">
        <f>IF($H$9="fld",VLOOKUP(A97,'price sheet'!$A$3:$F$162,2,FALSE),IF($H$9="ret",VLOOKUP(A97,'price sheet'!$A$3:$F$162,3,FALSE),IF($H$9="afl",VLOOKUP(A97,'price sheet'!$A$3:$F$162,4,FALSE),VLOOKUP(A97,'price sheet'!$A$3:$F$162,3,FALSE))))</f>
        <v>4.1900000000000004</v>
      </c>
      <c r="G97" s="5"/>
      <c r="H97" s="40">
        <f t="shared" si="25"/>
        <v>0</v>
      </c>
      <c r="I97" s="123"/>
      <c r="L97" s="19">
        <f t="shared" si="26"/>
        <v>0</v>
      </c>
      <c r="M97" s="19">
        <f t="shared" si="27"/>
        <v>0</v>
      </c>
      <c r="N97" s="19">
        <f t="shared" si="28"/>
        <v>0</v>
      </c>
      <c r="O97" s="117">
        <f t="shared" si="29"/>
        <v>0</v>
      </c>
    </row>
    <row r="98" spans="1:15" s="41" customFormat="1" ht="12" customHeight="1">
      <c r="A98" s="35" t="s">
        <v>122</v>
      </c>
      <c r="B98" s="60" t="s">
        <v>136</v>
      </c>
      <c r="C98" s="61"/>
      <c r="D98" s="61"/>
      <c r="E98" s="38"/>
      <c r="F98" s="39" t="e">
        <f>IF($H$9="fld",VLOOKUP(A98,'price sheet'!$A$3:$F$162,2,FALSE),IF($H$9="ret",VLOOKUP(A98,'price sheet'!$A$3:$F$162,3,FALSE),IF($H$9="afl",VLOOKUP(A98,'price sheet'!$A$3:$F$162,4,FALSE),VLOOKUP(A98,'price sheet'!$A$3:$F$162,3,FALSE))))</f>
        <v>#N/A</v>
      </c>
      <c r="G98" s="5"/>
      <c r="H98" s="40" t="e">
        <f t="shared" si="25"/>
        <v>#N/A</v>
      </c>
      <c r="I98" s="123"/>
      <c r="L98" s="19">
        <f t="shared" si="26"/>
        <v>0</v>
      </c>
      <c r="M98" s="19">
        <f t="shared" si="27"/>
        <v>0</v>
      </c>
      <c r="N98" s="19">
        <f t="shared" si="28"/>
        <v>0</v>
      </c>
      <c r="O98" s="117">
        <f t="shared" si="29"/>
        <v>0</v>
      </c>
    </row>
    <row r="99" spans="1:15" s="41" customFormat="1" ht="12" customHeight="1">
      <c r="A99" s="35" t="s">
        <v>123</v>
      </c>
      <c r="B99" s="58" t="s">
        <v>137</v>
      </c>
      <c r="C99" s="60"/>
      <c r="D99" s="61"/>
      <c r="E99" s="38"/>
      <c r="F99" s="39" t="e">
        <f>IF($H$9="fld",VLOOKUP(A99,'price sheet'!$A$3:$F$162,2,FALSE),IF($H$9="ret",VLOOKUP(A99,'price sheet'!$A$3:$F$162,3,FALSE),IF($H$9="afl",VLOOKUP(A99,'price sheet'!$A$3:$F$162,4,FALSE),VLOOKUP(A99,'price sheet'!$A$3:$F$162,3,FALSE))))</f>
        <v>#N/A</v>
      </c>
      <c r="G99" s="5"/>
      <c r="H99" s="40" t="e">
        <f t="shared" si="25"/>
        <v>#N/A</v>
      </c>
      <c r="I99" s="123"/>
      <c r="L99" s="19">
        <f t="shared" si="26"/>
        <v>0</v>
      </c>
      <c r="M99" s="19">
        <f t="shared" si="27"/>
        <v>0</v>
      </c>
      <c r="N99" s="19">
        <f t="shared" si="28"/>
        <v>0</v>
      </c>
      <c r="O99" s="117">
        <f t="shared" si="29"/>
        <v>0</v>
      </c>
    </row>
    <row r="100" spans="1:15" s="41" customFormat="1" ht="12" customHeight="1">
      <c r="A100" s="35" t="s">
        <v>124</v>
      </c>
      <c r="B100" s="58" t="s">
        <v>194</v>
      </c>
      <c r="C100" s="60"/>
      <c r="D100" s="61"/>
      <c r="E100" s="38"/>
      <c r="F100" s="39">
        <f>IF($H$9="fld",VLOOKUP(A100,'price sheet'!$A$3:$F$162,2,FALSE),IF($H$9="ret",VLOOKUP(A100,'price sheet'!$A$3:$F$162,3,FALSE),IF($H$9="afl",VLOOKUP(A100,'price sheet'!$A$3:$F$162,4,FALSE),VLOOKUP(A100,'price sheet'!$A$3:$F$162,3,FALSE))))</f>
        <v>3.62</v>
      </c>
      <c r="G100" s="5"/>
      <c r="H100" s="40">
        <f t="shared" si="25"/>
        <v>0</v>
      </c>
      <c r="I100" s="123"/>
      <c r="L100" s="19">
        <f t="shared" si="26"/>
        <v>0</v>
      </c>
      <c r="M100" s="19">
        <f t="shared" si="27"/>
        <v>0</v>
      </c>
      <c r="N100" s="19">
        <f t="shared" si="28"/>
        <v>0</v>
      </c>
      <c r="O100" s="117">
        <f t="shared" si="29"/>
        <v>0</v>
      </c>
    </row>
    <row r="101" spans="1:15" s="41" customFormat="1" ht="12" customHeight="1">
      <c r="A101" s="35" t="s">
        <v>125</v>
      </c>
      <c r="B101" s="58" t="s">
        <v>183</v>
      </c>
      <c r="C101" s="60"/>
      <c r="D101" s="61"/>
      <c r="E101" s="38"/>
      <c r="F101" s="39">
        <f>IF($H$9="fld",VLOOKUP(A101,'price sheet'!$A$3:$F$162,2,FALSE),IF($H$9="ret",VLOOKUP(A101,'price sheet'!$A$3:$F$162,3,FALSE),IF($H$9="afl",VLOOKUP(A101,'price sheet'!$A$3:$F$162,4,FALSE),VLOOKUP(A101,'price sheet'!$A$3:$F$162,3,FALSE))))</f>
        <v>18.09</v>
      </c>
      <c r="G101" s="5"/>
      <c r="H101" s="40">
        <f t="shared" si="25"/>
        <v>0</v>
      </c>
      <c r="I101" s="123"/>
      <c r="L101" s="19">
        <f t="shared" si="26"/>
        <v>0</v>
      </c>
      <c r="M101" s="19">
        <f t="shared" si="27"/>
        <v>0</v>
      </c>
      <c r="N101" s="19">
        <f t="shared" si="28"/>
        <v>0</v>
      </c>
      <c r="O101" s="117">
        <f t="shared" si="29"/>
        <v>0</v>
      </c>
    </row>
    <row r="102" spans="1:15" s="41" customFormat="1" ht="12" customHeight="1">
      <c r="A102" s="35" t="s">
        <v>222</v>
      </c>
      <c r="B102" s="58" t="s">
        <v>234</v>
      </c>
      <c r="C102" s="60"/>
      <c r="D102" s="61"/>
      <c r="E102" s="38"/>
      <c r="F102" s="39">
        <f>IF($H$9="fld",VLOOKUP(A102,'price sheet'!$A$3:$F$162,2,FALSE),IF($H$9="ret",VLOOKUP(A102,'price sheet'!$A$3:$F$162,3,FALSE),IF($H$9="afl",VLOOKUP(A102,'price sheet'!$A$3:$F$162,4,FALSE),VLOOKUP(A102,'price sheet'!$A$3:$F$162,3,FALSE))))</f>
        <v>2.75</v>
      </c>
      <c r="G102" s="5"/>
      <c r="H102" s="40">
        <f t="shared" si="25"/>
        <v>0</v>
      </c>
      <c r="I102" s="123"/>
      <c r="L102" s="19">
        <f t="shared" si="26"/>
        <v>0</v>
      </c>
      <c r="M102" s="19">
        <f t="shared" si="27"/>
        <v>0</v>
      </c>
      <c r="N102" s="19">
        <f t="shared" si="28"/>
        <v>0</v>
      </c>
      <c r="O102" s="117">
        <f t="shared" si="29"/>
        <v>0</v>
      </c>
    </row>
    <row r="103" spans="1:15" s="41" customFormat="1" ht="12" customHeight="1">
      <c r="A103" s="35" t="s">
        <v>233</v>
      </c>
      <c r="B103" s="58" t="s">
        <v>223</v>
      </c>
      <c r="C103" s="60"/>
      <c r="D103" s="61"/>
      <c r="E103" s="38"/>
      <c r="F103" s="39" t="e">
        <f>IF($H$9="fld",VLOOKUP(A103,'price sheet'!$A$3:$F$162,2,FALSE),IF($H$9="ret",VLOOKUP(A103,'price sheet'!$A$3:$F$162,3,FALSE),IF($H$9="afl",VLOOKUP(A103,'price sheet'!$A$3:$F$162,4,FALSE),VLOOKUP(A103,'price sheet'!$A$3:$F$162,3,FALSE))))</f>
        <v>#N/A</v>
      </c>
      <c r="G103" s="5"/>
      <c r="H103" s="40" t="e">
        <f t="shared" si="25"/>
        <v>#N/A</v>
      </c>
      <c r="I103" s="123"/>
      <c r="L103" s="19">
        <f t="shared" si="26"/>
        <v>0</v>
      </c>
      <c r="M103" s="19">
        <f t="shared" si="27"/>
        <v>0</v>
      </c>
      <c r="N103" s="19">
        <f t="shared" si="28"/>
        <v>0</v>
      </c>
      <c r="O103" s="117">
        <f t="shared" si="29"/>
        <v>0</v>
      </c>
    </row>
    <row r="104" spans="1:15" s="41" customFormat="1" ht="12" customHeight="1">
      <c r="A104" s="35" t="s">
        <v>235</v>
      </c>
      <c r="B104" s="58" t="s">
        <v>262</v>
      </c>
      <c r="C104" s="60"/>
      <c r="D104" s="61"/>
      <c r="E104" s="38"/>
      <c r="F104" s="39">
        <f>IF($H$9="fld",VLOOKUP(A104,'price sheet'!$A$3:$F$162,2,FALSE),IF($H$9="ret",VLOOKUP(A104,'price sheet'!$A$3:$F$162,3,FALSE),IF($H$9="afl",VLOOKUP(A104,'price sheet'!$A$3:$F$162,4,FALSE),VLOOKUP(A104,'price sheet'!$A$3:$F$162,3,FALSE))))</f>
        <v>7.24</v>
      </c>
      <c r="G104" s="5"/>
      <c r="H104" s="40">
        <f t="shared" si="25"/>
        <v>0</v>
      </c>
      <c r="I104" s="123"/>
      <c r="L104" s="19">
        <f t="shared" si="26"/>
        <v>0</v>
      </c>
      <c r="M104" s="19">
        <f t="shared" si="27"/>
        <v>0</v>
      </c>
      <c r="N104" s="19">
        <f t="shared" si="28"/>
        <v>0</v>
      </c>
      <c r="O104" s="117">
        <f t="shared" si="29"/>
        <v>0</v>
      </c>
    </row>
    <row r="105" spans="1:15" s="41" customFormat="1" ht="12" customHeight="1">
      <c r="A105" s="35" t="s">
        <v>263</v>
      </c>
      <c r="B105" s="60" t="s">
        <v>264</v>
      </c>
      <c r="C105" s="61"/>
      <c r="D105" s="61"/>
      <c r="E105" s="38"/>
      <c r="F105" s="39">
        <f>IF($H$9="fld",VLOOKUP(A105,'price sheet'!$A$3:$F$162,2,FALSE),IF($H$9="ret",VLOOKUP(A105,'price sheet'!$A$3:$F$162,3,FALSE),IF($H$9="afl",VLOOKUP(A105,'price sheet'!$A$3:$F$162,4,FALSE),VLOOKUP(A105,'price sheet'!$A$3:$F$162,3,FALSE))))</f>
        <v>2.75</v>
      </c>
      <c r="G105" s="5"/>
      <c r="H105" s="40">
        <f t="shared" si="25"/>
        <v>0</v>
      </c>
      <c r="I105" s="123"/>
      <c r="L105" s="19">
        <f t="shared" si="26"/>
        <v>0</v>
      </c>
      <c r="M105" s="19">
        <f t="shared" si="27"/>
        <v>0</v>
      </c>
      <c r="N105" s="19">
        <f t="shared" si="28"/>
        <v>0</v>
      </c>
      <c r="O105" s="117">
        <f t="shared" si="29"/>
        <v>0</v>
      </c>
    </row>
    <row r="106" spans="1:15" s="41" customFormat="1" ht="12" customHeight="1">
      <c r="A106" s="35" t="s">
        <v>268</v>
      </c>
      <c r="B106" s="60" t="s">
        <v>269</v>
      </c>
      <c r="C106" s="61"/>
      <c r="D106" s="61"/>
      <c r="E106" s="38"/>
      <c r="F106" s="39" t="e">
        <f>IF($H$9="fld",VLOOKUP(A106,'price sheet'!$A$3:$F$162,2,FALSE),IF($H$9="ret",VLOOKUP(A106,'price sheet'!$A$3:$F$162,3,FALSE),IF($H$9="afl",VLOOKUP(A106,'price sheet'!$A$3:$F$162,4,FALSE),VLOOKUP(A106,'price sheet'!$A$3:$F$162,3,FALSE))))</f>
        <v>#N/A</v>
      </c>
      <c r="G106" s="5"/>
      <c r="H106" s="40" t="e">
        <f t="shared" si="25"/>
        <v>#N/A</v>
      </c>
      <c r="I106" s="123"/>
      <c r="L106" s="19">
        <f t="shared" si="26"/>
        <v>0</v>
      </c>
      <c r="M106" s="19">
        <f t="shared" si="27"/>
        <v>0</v>
      </c>
      <c r="N106" s="19">
        <f t="shared" si="28"/>
        <v>0</v>
      </c>
      <c r="O106" s="117">
        <f t="shared" si="29"/>
        <v>0</v>
      </c>
    </row>
    <row r="107" spans="1:15" s="41" customFormat="1" ht="12" customHeight="1">
      <c r="A107" s="35" t="s">
        <v>283</v>
      </c>
      <c r="B107" s="60" t="s">
        <v>236</v>
      </c>
      <c r="C107" s="61"/>
      <c r="D107" s="61"/>
      <c r="E107" s="38"/>
      <c r="F107" s="39">
        <f>IF($H$9="fld",VLOOKUP(A107,'price sheet'!$A$3:$F$162,2,FALSE),IF($H$9="ret",VLOOKUP(A107,'price sheet'!$A$3:$F$162,3,FALSE),IF($H$9="afl",VLOOKUP(A107,'price sheet'!$A$3:$F$162,4,FALSE),VLOOKUP(A107,'price sheet'!$A$3:$F$162,3,FALSE))))</f>
        <v>2.68</v>
      </c>
      <c r="G107" s="5"/>
      <c r="H107" s="40">
        <f t="shared" si="25"/>
        <v>0</v>
      </c>
      <c r="I107" s="123"/>
      <c r="L107" s="19">
        <f t="shared" si="26"/>
        <v>0</v>
      </c>
      <c r="M107" s="19">
        <f t="shared" si="27"/>
        <v>0</v>
      </c>
      <c r="N107" s="19">
        <f t="shared" si="28"/>
        <v>0</v>
      </c>
      <c r="O107" s="117">
        <f t="shared" si="29"/>
        <v>0</v>
      </c>
    </row>
    <row r="108" spans="1:15" s="41" customFormat="1" ht="12" customHeight="1">
      <c r="A108" s="35" t="s">
        <v>333</v>
      </c>
      <c r="B108" s="60" t="s">
        <v>334</v>
      </c>
      <c r="C108" s="61"/>
      <c r="D108" s="61"/>
      <c r="E108" s="38"/>
      <c r="F108" s="39">
        <f>IF($H$9="fld",VLOOKUP(A108,'price sheet'!$A$3:$F$162,2,FALSE),IF($H$9="ret",VLOOKUP(A108,'price sheet'!$A$3:$F$162,3,FALSE),IF($H$9="afl",VLOOKUP(A108,'price sheet'!$A$3:$F$162,4,FALSE),VLOOKUP(A108,'price sheet'!$A$3:$F$162,3,FALSE))))</f>
        <v>0</v>
      </c>
      <c r="G108" s="5"/>
      <c r="H108" s="40">
        <f>F108*G108</f>
        <v>0</v>
      </c>
      <c r="I108" s="123"/>
      <c r="L108" s="19"/>
      <c r="M108" s="19"/>
      <c r="N108" s="19"/>
      <c r="O108" s="117"/>
    </row>
    <row r="109" spans="1:15" s="41" customFormat="1" ht="12" customHeight="1">
      <c r="A109" s="35" t="s">
        <v>335</v>
      </c>
      <c r="B109" s="60" t="s">
        <v>336</v>
      </c>
      <c r="C109" s="61"/>
      <c r="D109" s="61"/>
      <c r="E109" s="38"/>
      <c r="F109" s="39">
        <f>IF($H$9="fld",VLOOKUP(A109,'price sheet'!$A$3:$F$162,2,FALSE),IF($H$9="ret",VLOOKUP(A109,'price sheet'!$A$3:$F$162,3,FALSE),IF($H$9="aff",VLOOKUP(A109,'price sheet'!$A$3:$F$162,4,FALSE),VLOOKUP(A109,'price sheet'!$A$3:$F$162,3,FALSE))))</f>
        <v>0</v>
      </c>
      <c r="G109" s="5"/>
      <c r="H109" s="40">
        <f>F109*G109</f>
        <v>0</v>
      </c>
      <c r="I109" s="123"/>
      <c r="L109" s="19"/>
      <c r="M109" s="19"/>
      <c r="N109" s="19"/>
      <c r="O109" s="117"/>
    </row>
    <row r="110" spans="1:15" s="41" customFormat="1" ht="12" customHeight="1">
      <c r="A110" s="35" t="s">
        <v>352</v>
      </c>
      <c r="B110" s="60" t="s">
        <v>350</v>
      </c>
      <c r="C110" s="61"/>
      <c r="D110" s="61"/>
      <c r="E110" s="38"/>
      <c r="F110" s="39">
        <f>IF($H$9="fld",VLOOKUP(A110,'price sheet'!$A$3:$F$162,2,FALSE),IF($H$9="ret",VLOOKUP(A110,'price sheet'!$A$3:$F$162,3,FALSE),IF($H$9="aff",VLOOKUP(A110,'price sheet'!$A$3:$F$162,4,FALSE),VLOOKUP(A110,'price sheet'!$A$3:$F$162,3,FALSE))))</f>
        <v>2.75</v>
      </c>
      <c r="G110" s="138"/>
      <c r="H110" s="40" t="s">
        <v>351</v>
      </c>
      <c r="I110" s="123"/>
      <c r="L110" s="19"/>
      <c r="M110" s="19"/>
      <c r="N110" s="19"/>
      <c r="O110" s="117"/>
    </row>
    <row r="111" spans="1:15" s="41" customFormat="1" ht="12.75" customHeight="1">
      <c r="A111" s="144"/>
      <c r="B111" s="48"/>
      <c r="C111" s="43"/>
      <c r="D111" s="43"/>
      <c r="E111" s="103"/>
      <c r="F111" s="143"/>
      <c r="G111" s="44" t="s">
        <v>63</v>
      </c>
      <c r="H111" s="62" t="e">
        <f>SUM(H83:H107)</f>
        <v>#N/A</v>
      </c>
      <c r="I111" s="113"/>
      <c r="J111" s="9"/>
      <c r="K111" s="9"/>
      <c r="L111" s="19"/>
      <c r="O111" s="119"/>
    </row>
    <row r="112" spans="1:15" s="41" customFormat="1" ht="12.75" customHeight="1">
      <c r="A112" s="47" t="s">
        <v>65</v>
      </c>
      <c r="B112" s="59" t="s">
        <v>147</v>
      </c>
      <c r="C112" s="54"/>
      <c r="D112" s="55"/>
      <c r="E112" s="107"/>
      <c r="F112" s="39"/>
      <c r="G112" s="107"/>
      <c r="H112" s="63"/>
      <c r="I112" s="113"/>
      <c r="J112" s="9"/>
      <c r="K112" s="9"/>
      <c r="L112" s="34">
        <v>0.15</v>
      </c>
      <c r="M112" s="34">
        <v>0.25</v>
      </c>
      <c r="N112" s="34">
        <v>0.3</v>
      </c>
      <c r="O112" s="118" t="s">
        <v>22</v>
      </c>
    </row>
    <row r="113" spans="1:15" s="41" customFormat="1" ht="12.75" customHeight="1">
      <c r="A113" s="35" t="s">
        <v>148</v>
      </c>
      <c r="B113" s="58" t="s">
        <v>149</v>
      </c>
      <c r="C113" s="60"/>
      <c r="D113" s="61"/>
      <c r="E113" s="38"/>
      <c r="F113" s="39">
        <f>IF($H$9="fld",VLOOKUP(A113,'price sheet'!$A$3:$F$162,2,FALSE),IF($H$9="ret",VLOOKUP(A113,'price sheet'!$A$3:$F$162,3,FALSE),IF($H$9="aff",VLOOKUP(A113,'price sheet'!$A$3:$F$162,4,FALSE),VLOOKUP(A113,'price sheet'!$A$3:$F$162,3,FALSE))))</f>
        <v>0</v>
      </c>
      <c r="G113" s="5"/>
      <c r="H113" s="40" t="str">
        <f t="shared" ref="H113:H119" si="30">IF($H$9="ret","N/A","FREE")</f>
        <v>FREE</v>
      </c>
      <c r="I113" s="123"/>
      <c r="L113" s="19">
        <f>IF(H113="free",0,IF(H113="n/a",0,IF(G113&gt;9,H113*15%,0)))</f>
        <v>0</v>
      </c>
      <c r="M113" s="19">
        <f>IF(H113="free",0,IF(H113="n/a",0,IF(G113&gt;50,H113*10%,0)))</f>
        <v>0</v>
      </c>
      <c r="N113" s="19">
        <f>IF(H113="free",0,IF(H113="n/a",0,IF(G113&gt;100,H113*5%,0)))</f>
        <v>0</v>
      </c>
      <c r="O113" s="117">
        <f t="shared" ref="O113:O119" si="31">IF($H$9="fld",IF(I113&gt;0,0*$G$205,0),SUM(L113:N113))</f>
        <v>0</v>
      </c>
    </row>
    <row r="114" spans="1:15" s="41" customFormat="1" ht="12.75" customHeight="1">
      <c r="A114" s="35" t="s">
        <v>150</v>
      </c>
      <c r="B114" s="58" t="s">
        <v>237</v>
      </c>
      <c r="C114" s="60"/>
      <c r="D114" s="61"/>
      <c r="E114" s="38"/>
      <c r="F114" s="39">
        <f>IF($H$9="fld",VLOOKUP(A114,'price sheet'!$A$3:$F$162,2,FALSE),IF($H$9="ret",VLOOKUP(A114,'price sheet'!$A$3:$F$162,3,FALSE),IF($H$9="aff",VLOOKUP(A114,'price sheet'!$A$3:$F$162,4,FALSE),VLOOKUP(A114,'price sheet'!$A$3:$F$162,3,FALSE))))</f>
        <v>0.67</v>
      </c>
      <c r="G114" s="5"/>
      <c r="H114" s="40" t="str">
        <f t="shared" si="30"/>
        <v>FREE</v>
      </c>
      <c r="I114" s="123"/>
      <c r="L114" s="19">
        <f t="shared" ref="L114:L136" si="32">IF(H114="free",0,IF(H114="n/a",0,IF(G114&gt;9,H114*15%,0)))</f>
        <v>0</v>
      </c>
      <c r="M114" s="19">
        <f t="shared" ref="M114:M136" si="33">IF(H114="free",0,IF(H114="n/a",0,IF(G114&gt;50,H114*10%,0)))</f>
        <v>0</v>
      </c>
      <c r="N114" s="19">
        <f t="shared" ref="N114:N136" si="34">IF(H114="free",0,IF(H114="n/a",0,IF(G114&gt;100,H114*5%,0)))</f>
        <v>0</v>
      </c>
      <c r="O114" s="117">
        <f t="shared" si="31"/>
        <v>0</v>
      </c>
    </row>
    <row r="115" spans="1:15" s="41" customFormat="1" ht="12.75" customHeight="1">
      <c r="A115" s="35" t="s">
        <v>151</v>
      </c>
      <c r="B115" s="58" t="s">
        <v>238</v>
      </c>
      <c r="C115" s="60"/>
      <c r="D115" s="61"/>
      <c r="E115" s="38"/>
      <c r="F115" s="39" t="e">
        <f>IF($H$9="fld",VLOOKUP(A115,'price sheet'!$A$3:$F$162,2,FALSE),IF($H$9="ret",VLOOKUP(A115,'price sheet'!$A$3:$F$162,3,FALSE),IF($H$9="aff",VLOOKUP(A115,'price sheet'!$A$3:$F$162,4,FALSE),VLOOKUP(A115,'price sheet'!$A$3:$F$162,3,FALSE))))</f>
        <v>#N/A</v>
      </c>
      <c r="G115" s="5"/>
      <c r="H115" s="40" t="str">
        <f t="shared" si="30"/>
        <v>FREE</v>
      </c>
      <c r="I115" s="123"/>
      <c r="L115" s="19">
        <f t="shared" si="32"/>
        <v>0</v>
      </c>
      <c r="M115" s="19">
        <f t="shared" si="33"/>
        <v>0</v>
      </c>
      <c r="N115" s="19">
        <f t="shared" si="34"/>
        <v>0</v>
      </c>
      <c r="O115" s="117">
        <f t="shared" si="31"/>
        <v>0</v>
      </c>
    </row>
    <row r="116" spans="1:15" s="41" customFormat="1" ht="12.75" customHeight="1">
      <c r="A116" s="35" t="s">
        <v>152</v>
      </c>
      <c r="B116" s="58" t="s">
        <v>154</v>
      </c>
      <c r="C116" s="60"/>
      <c r="D116" s="61"/>
      <c r="E116" s="38"/>
      <c r="F116" s="39">
        <f>IF($H$9="fld",VLOOKUP(A116,'price sheet'!$A$3:$F$162,2,FALSE),IF($H$9="ret",VLOOKUP(A116,'price sheet'!$A$3:$F$162,3,FALSE),IF($H$9="aff",VLOOKUP(A116,'price sheet'!$A$3:$F$162,4,FALSE),VLOOKUP(A116,'price sheet'!$A$3:$F$162,3,FALSE))))</f>
        <v>0.67</v>
      </c>
      <c r="G116" s="5"/>
      <c r="H116" s="40" t="str">
        <f t="shared" si="30"/>
        <v>FREE</v>
      </c>
      <c r="I116" s="123"/>
      <c r="L116" s="19">
        <f t="shared" si="32"/>
        <v>0</v>
      </c>
      <c r="M116" s="19">
        <f t="shared" si="33"/>
        <v>0</v>
      </c>
      <c r="N116" s="19">
        <f t="shared" si="34"/>
        <v>0</v>
      </c>
      <c r="O116" s="117">
        <f t="shared" si="31"/>
        <v>0</v>
      </c>
    </row>
    <row r="117" spans="1:15" s="41" customFormat="1" ht="12.75" customHeight="1">
      <c r="A117" s="35" t="s">
        <v>239</v>
      </c>
      <c r="B117" s="58" t="s">
        <v>240</v>
      </c>
      <c r="C117" s="60"/>
      <c r="D117" s="61"/>
      <c r="E117" s="38"/>
      <c r="F117" s="39" t="e">
        <f>IF($H$9="fld",VLOOKUP(A117,'price sheet'!$A$3:$F$162,2,FALSE),IF($H$9="ret",VLOOKUP(A117,'price sheet'!$A$3:$F$162,3,FALSE),IF($H$9="aff",VLOOKUP(A117,'price sheet'!$A$3:$F$162,4,FALSE),VLOOKUP(A117,'price sheet'!$A$3:$F$162,3,FALSE))))</f>
        <v>#N/A</v>
      </c>
      <c r="G117" s="5"/>
      <c r="H117" s="40" t="str">
        <f t="shared" si="30"/>
        <v>FREE</v>
      </c>
      <c r="I117" s="123"/>
      <c r="L117" s="19">
        <f t="shared" si="32"/>
        <v>0</v>
      </c>
      <c r="M117" s="19">
        <f t="shared" si="33"/>
        <v>0</v>
      </c>
      <c r="N117" s="19">
        <f t="shared" si="34"/>
        <v>0</v>
      </c>
      <c r="O117" s="117">
        <f t="shared" si="31"/>
        <v>0</v>
      </c>
    </row>
    <row r="118" spans="1:15" s="41" customFormat="1">
      <c r="A118" s="35" t="s">
        <v>153</v>
      </c>
      <c r="B118" s="58" t="s">
        <v>155</v>
      </c>
      <c r="C118" s="60"/>
      <c r="D118" s="61"/>
      <c r="E118" s="38"/>
      <c r="F118" s="39">
        <f>IF($H$9="fld",VLOOKUP(A118,'price sheet'!$A$3:$F$162,2,FALSE),IF($H$9="ret",VLOOKUP(A118,'price sheet'!$A$3:$F$162,3,FALSE),IF($H$9="aff",VLOOKUP(A118,'price sheet'!$A$3:$F$162,4,FALSE),VLOOKUP(A118,'price sheet'!$A$3:$F$162,3,FALSE))))</f>
        <v>0.67</v>
      </c>
      <c r="G118" s="5"/>
      <c r="H118" s="40" t="str">
        <f t="shared" si="30"/>
        <v>FREE</v>
      </c>
      <c r="I118" s="123"/>
      <c r="L118" s="19">
        <f t="shared" si="32"/>
        <v>0</v>
      </c>
      <c r="M118" s="19">
        <f t="shared" si="33"/>
        <v>0</v>
      </c>
      <c r="N118" s="19">
        <f t="shared" si="34"/>
        <v>0</v>
      </c>
      <c r="O118" s="117">
        <f t="shared" si="31"/>
        <v>0</v>
      </c>
    </row>
    <row r="119" spans="1:15" s="41" customFormat="1">
      <c r="A119" s="35" t="s">
        <v>158</v>
      </c>
      <c r="B119" s="58" t="s">
        <v>156</v>
      </c>
      <c r="C119" s="60"/>
      <c r="D119" s="61"/>
      <c r="E119" s="38"/>
      <c r="F119" s="39">
        <f>IF($H$9="fld",VLOOKUP(A119,'price sheet'!$A$3:$F$162,2,FALSE),IF($H$9="ret",VLOOKUP(A119,'price sheet'!$A$3:$F$162,3,FALSE),IF($H$9="aff",VLOOKUP(A119,'price sheet'!$A$3:$F$162,4,FALSE),VLOOKUP(A119,'price sheet'!$A$3:$F$162,3,FALSE))))</f>
        <v>0.67</v>
      </c>
      <c r="G119" s="5"/>
      <c r="H119" s="40" t="str">
        <f t="shared" si="30"/>
        <v>FREE</v>
      </c>
      <c r="I119" s="123"/>
      <c r="L119" s="19">
        <f t="shared" si="32"/>
        <v>0</v>
      </c>
      <c r="M119" s="19">
        <f t="shared" si="33"/>
        <v>0</v>
      </c>
      <c r="N119" s="19">
        <f t="shared" si="34"/>
        <v>0</v>
      </c>
      <c r="O119" s="117">
        <f t="shared" si="31"/>
        <v>0</v>
      </c>
    </row>
    <row r="120" spans="1:15" s="41" customFormat="1">
      <c r="A120" s="35" t="s">
        <v>159</v>
      </c>
      <c r="B120" s="58" t="s">
        <v>241</v>
      </c>
      <c r="C120" s="60"/>
      <c r="D120" s="61"/>
      <c r="E120" s="38"/>
      <c r="F120" s="39">
        <f>IF($H$9="fld",VLOOKUP(A120,'price sheet'!$A$3:$F$162,2,FALSE),IF($H$9="ret",VLOOKUP(A120,'price sheet'!$A$3:$F$162,3,FALSE),IF($H$9="aff",VLOOKUP(A120,'price sheet'!$A$3:$F$162,4,FALSE),VLOOKUP(A120,'price sheet'!$A$3:$F$162,3,FALSE))))</f>
        <v>5.7</v>
      </c>
      <c r="G120" s="5"/>
      <c r="H120" s="40">
        <f>IF($H$9="afF","N/A",IF($H$9="ret","N/A",F120*G120))</f>
        <v>0</v>
      </c>
      <c r="I120" s="123"/>
      <c r="L120" s="19">
        <f t="shared" si="32"/>
        <v>0</v>
      </c>
      <c r="M120" s="19">
        <f t="shared" si="33"/>
        <v>0</v>
      </c>
      <c r="N120" s="19">
        <f t="shared" si="34"/>
        <v>0</v>
      </c>
      <c r="O120" s="117">
        <f>IF($H$9="fld",IF(I120&gt;0,H120*$G$205,0),SUM(L120:N120))</f>
        <v>0</v>
      </c>
    </row>
    <row r="121" spans="1:15" s="41" customFormat="1">
      <c r="A121" s="35" t="s">
        <v>160</v>
      </c>
      <c r="B121" s="58" t="s">
        <v>157</v>
      </c>
      <c r="C121" s="60"/>
      <c r="D121" s="61"/>
      <c r="E121" s="38"/>
      <c r="F121" s="39">
        <f>IF($H$9="fld",VLOOKUP(A121,'price sheet'!$A$3:$F$162,2,FALSE),IF($H$9="ret",VLOOKUP(A121,'price sheet'!$A$3:$F$162,3,FALSE),IF($H$9="aff",VLOOKUP(A121,'price sheet'!$A$3:$F$162,4,FALSE),VLOOKUP(A121,'price sheet'!$A$3:$F$162,3,FALSE))))</f>
        <v>0.67</v>
      </c>
      <c r="G121" s="5"/>
      <c r="H121" s="40" t="str">
        <f>IF($H$9="ret","N/A","FREE")</f>
        <v>FREE</v>
      </c>
      <c r="I121" s="123"/>
      <c r="L121" s="19">
        <f t="shared" si="32"/>
        <v>0</v>
      </c>
      <c r="M121" s="19">
        <f t="shared" si="33"/>
        <v>0</v>
      </c>
      <c r="N121" s="19">
        <f t="shared" si="34"/>
        <v>0</v>
      </c>
      <c r="O121" s="117">
        <f>IF($H$9="fld",IF(I121&gt;0,0*$G$205,0),SUM(L121:N121))</f>
        <v>0</v>
      </c>
    </row>
    <row r="122" spans="1:15" s="41" customFormat="1">
      <c r="A122" s="35" t="s">
        <v>161</v>
      </c>
      <c r="B122" s="58" t="s">
        <v>163</v>
      </c>
      <c r="C122" s="60"/>
      <c r="D122" s="61"/>
      <c r="E122" s="38"/>
      <c r="F122" s="39">
        <f>IF($H$9="fld",VLOOKUP(A122,'price sheet'!$A$3:$F$162,2,FALSE),IF($H$9="ret",VLOOKUP(A122,'price sheet'!$A$3:$F$162,3,FALSE),IF($H$9="aff",VLOOKUP(A122,'price sheet'!$A$3:$F$162,4,FALSE),VLOOKUP(A122,'price sheet'!$A$3:$F$162,3,FALSE))))</f>
        <v>3.335</v>
      </c>
      <c r="G122" s="5"/>
      <c r="H122" s="40">
        <f>IF($H$9="afF","N/A",IF($H$9="ret","N/A",F122*G122))</f>
        <v>0</v>
      </c>
      <c r="I122" s="123"/>
      <c r="L122" s="19">
        <f t="shared" si="32"/>
        <v>0</v>
      </c>
      <c r="M122" s="19">
        <f t="shared" si="33"/>
        <v>0</v>
      </c>
      <c r="N122" s="19">
        <f t="shared" si="34"/>
        <v>0</v>
      </c>
      <c r="O122" s="117">
        <f>IF($H$9="fld",IF(I122&gt;0,H122*$G$205,0),SUM(L122:N122))</f>
        <v>0</v>
      </c>
    </row>
    <row r="123" spans="1:15" s="41" customFormat="1">
      <c r="A123" s="35" t="s">
        <v>363</v>
      </c>
      <c r="B123" s="58" t="s">
        <v>364</v>
      </c>
      <c r="C123" s="60"/>
      <c r="D123" s="61"/>
      <c r="E123" s="38"/>
      <c r="F123" s="39">
        <f>IF($H$9="fld",VLOOKUP(A123,'price sheet'!$A$3:$F$162,2,FALSE),IF($H$9="ret",VLOOKUP(A123,'price sheet'!$A$3:$F$162,3,FALSE),IF($H$9="aff",VLOOKUP(A123,'price sheet'!$A$3:$F$162,4,FALSE),VLOOKUP(A123,'price sheet'!$A$3:$F$162,3,FALSE))))</f>
        <v>0.67</v>
      </c>
      <c r="G123" s="5"/>
      <c r="H123" s="40" t="s">
        <v>140</v>
      </c>
      <c r="I123" s="123"/>
      <c r="L123" s="19"/>
      <c r="M123" s="19"/>
      <c r="N123" s="19"/>
      <c r="O123" s="117"/>
    </row>
    <row r="124" spans="1:15" s="41" customFormat="1">
      <c r="A124" s="35" t="s">
        <v>138</v>
      </c>
      <c r="B124" s="58" t="s">
        <v>139</v>
      </c>
      <c r="C124" s="60"/>
      <c r="D124" s="61"/>
      <c r="E124" s="38"/>
      <c r="F124" s="39">
        <f>IF($H$9="fld",VLOOKUP(A124,'price sheet'!$A$3:$F$162,2,FALSE),IF($H$9="ret",VLOOKUP(A124,'price sheet'!$A$3:$F$162,3,FALSE),IF($H$9="aff",VLOOKUP(A124,'price sheet'!$A$3:$F$162,4,FALSE),VLOOKUP(A124,'price sheet'!$A$3:$F$162,3,FALSE))))</f>
        <v>4.55</v>
      </c>
      <c r="G124" s="5"/>
      <c r="H124" s="40" t="s">
        <v>140</v>
      </c>
      <c r="I124" s="123"/>
      <c r="L124" s="19">
        <f t="shared" si="32"/>
        <v>0</v>
      </c>
      <c r="M124" s="19">
        <f t="shared" si="33"/>
        <v>0</v>
      </c>
      <c r="N124" s="19">
        <f t="shared" si="34"/>
        <v>0</v>
      </c>
      <c r="O124" s="117">
        <f t="shared" ref="O124:O132" si="35">IF($H$9="fld",IF(I124&gt;0,0*$G$205,0),SUM(L124:N124))</f>
        <v>0</v>
      </c>
    </row>
    <row r="125" spans="1:15" s="41" customFormat="1">
      <c r="A125" s="35" t="s">
        <v>162</v>
      </c>
      <c r="B125" s="35" t="s">
        <v>164</v>
      </c>
      <c r="C125" s="36"/>
      <c r="D125" s="37"/>
      <c r="E125" s="38"/>
      <c r="F125" s="39">
        <f>IF($H$9="fld",VLOOKUP(A125,'price sheet'!$A$3:$F$162,2,FALSE),IF($H$9="ret",VLOOKUP(A125,'price sheet'!$A$3:$F$162,3,FALSE),IF($H$9="aff",VLOOKUP(A125,'price sheet'!$A$3:$F$162,4,FALSE),VLOOKUP(A125,'price sheet'!$A$3:$F$162,3,FALSE))))</f>
        <v>0.67</v>
      </c>
      <c r="G125" s="5"/>
      <c r="H125" s="40" t="str">
        <f>IF($H$9="ret","N/A","FREE")</f>
        <v>FREE</v>
      </c>
      <c r="I125" s="123"/>
      <c r="L125" s="19">
        <f t="shared" si="32"/>
        <v>0</v>
      </c>
      <c r="M125" s="19">
        <f t="shared" si="33"/>
        <v>0</v>
      </c>
      <c r="N125" s="19">
        <f t="shared" si="34"/>
        <v>0</v>
      </c>
      <c r="O125" s="117">
        <f t="shared" si="35"/>
        <v>0</v>
      </c>
    </row>
    <row r="126" spans="1:15" s="41" customFormat="1">
      <c r="A126" s="35" t="s">
        <v>242</v>
      </c>
      <c r="B126" s="36" t="s">
        <v>360</v>
      </c>
      <c r="C126" s="37"/>
      <c r="D126" s="37"/>
      <c r="E126" s="38"/>
      <c r="F126" s="39">
        <f>IF($H$9="fld",VLOOKUP(A126,'price sheet'!$A$3:$F$162,2,FALSE),IF($H$9="ret",VLOOKUP(A126,'price sheet'!$A$3:$F$162,3,FALSE),IF($H$9="aff",VLOOKUP(A126,'price sheet'!$A$3:$F$162,4,FALSE),VLOOKUP(A126,'price sheet'!$A$3:$F$162,3,FALSE))))</f>
        <v>0.67</v>
      </c>
      <c r="G126" s="5"/>
      <c r="H126" s="40" t="str">
        <f>IF($H$9="ret","N/A","FREE")</f>
        <v>FREE</v>
      </c>
      <c r="I126" s="123"/>
      <c r="L126" s="19">
        <f t="shared" si="32"/>
        <v>0</v>
      </c>
      <c r="M126" s="19">
        <f t="shared" si="33"/>
        <v>0</v>
      </c>
      <c r="N126" s="19">
        <f t="shared" si="34"/>
        <v>0</v>
      </c>
      <c r="O126" s="117">
        <f t="shared" si="35"/>
        <v>0</v>
      </c>
    </row>
    <row r="127" spans="1:15" s="41" customFormat="1">
      <c r="A127" s="35" t="s">
        <v>243</v>
      </c>
      <c r="B127" s="36" t="s">
        <v>244</v>
      </c>
      <c r="C127" s="37"/>
      <c r="D127" s="37"/>
      <c r="E127" s="38"/>
      <c r="F127" s="39">
        <f>IF($H$9="fld",VLOOKUP(A127,'price sheet'!$A$3:$F$162,2,FALSE),IF($H$9="ret",VLOOKUP(A127,'price sheet'!$A$3:$F$162,3,FALSE),IF($H$9="aff",VLOOKUP(A127,'price sheet'!$A$3:$F$162,4,FALSE),VLOOKUP(A127,'price sheet'!$A$3:$F$162,3,FALSE))))</f>
        <v>38.085000000000001</v>
      </c>
      <c r="G127" s="5"/>
      <c r="H127" s="40" t="str">
        <f>IF($H$9="afl","N/A",IF($H$9="ret","N/A","FREE"))</f>
        <v>FREE</v>
      </c>
      <c r="I127" s="123"/>
      <c r="L127" s="19">
        <f t="shared" si="32"/>
        <v>0</v>
      </c>
      <c r="M127" s="19">
        <f t="shared" si="33"/>
        <v>0</v>
      </c>
      <c r="N127" s="19">
        <f t="shared" si="34"/>
        <v>0</v>
      </c>
      <c r="O127" s="117">
        <f t="shared" si="35"/>
        <v>0</v>
      </c>
    </row>
    <row r="128" spans="1:15" s="41" customFormat="1">
      <c r="A128" s="35" t="s">
        <v>245</v>
      </c>
      <c r="B128" s="36" t="s">
        <v>361</v>
      </c>
      <c r="C128" s="37"/>
      <c r="D128" s="37"/>
      <c r="E128" s="38"/>
      <c r="F128" s="39">
        <f>IF($H$9="fld",VLOOKUP(A128,'price sheet'!$A$3:$F$162,2,FALSE),IF($H$9="ret",VLOOKUP(A128,'price sheet'!$A$3:$F$162,3,FALSE),IF($H$9="aff",VLOOKUP(A128,'price sheet'!$A$3:$F$162,4,FALSE),VLOOKUP(A128,'price sheet'!$A$3:$F$162,3,FALSE))))</f>
        <v>0.67</v>
      </c>
      <c r="G128" s="5"/>
      <c r="H128" s="40" t="str">
        <f>IF($H$9="ret","N/A","FREE")</f>
        <v>FREE</v>
      </c>
      <c r="I128" s="123"/>
      <c r="L128" s="19">
        <f t="shared" si="32"/>
        <v>0</v>
      </c>
      <c r="M128" s="19">
        <f t="shared" si="33"/>
        <v>0</v>
      </c>
      <c r="N128" s="19">
        <f t="shared" si="34"/>
        <v>0</v>
      </c>
      <c r="O128" s="117">
        <f t="shared" si="35"/>
        <v>0</v>
      </c>
    </row>
    <row r="129" spans="1:15" s="41" customFormat="1">
      <c r="A129" s="35" t="s">
        <v>246</v>
      </c>
      <c r="B129" s="36" t="s">
        <v>247</v>
      </c>
      <c r="C129" s="37"/>
      <c r="D129" s="37"/>
      <c r="E129" s="38"/>
      <c r="F129" s="39">
        <f>IF($H$9="fld",VLOOKUP(A129,'price sheet'!$A$3:$F$162,2,FALSE),IF($H$9="ret",VLOOKUP(A129,'price sheet'!$A$3:$F$162,3,FALSE),IF($H$9="aff",VLOOKUP(A129,'price sheet'!$A$3:$F$162,4,FALSE),VLOOKUP(A129,'price sheet'!$A$3:$F$162,3,FALSE))))</f>
        <v>0.67</v>
      </c>
      <c r="G129" s="5"/>
      <c r="H129" s="40" t="str">
        <f>IF($H$9="ret","N/A","FREE")</f>
        <v>FREE</v>
      </c>
      <c r="I129" s="123"/>
      <c r="L129" s="19">
        <f t="shared" si="32"/>
        <v>0</v>
      </c>
      <c r="M129" s="19">
        <f t="shared" si="33"/>
        <v>0</v>
      </c>
      <c r="N129" s="19">
        <f t="shared" si="34"/>
        <v>0</v>
      </c>
      <c r="O129" s="117">
        <f t="shared" si="35"/>
        <v>0</v>
      </c>
    </row>
    <row r="130" spans="1:15" s="41" customFormat="1">
      <c r="A130" s="35" t="s">
        <v>248</v>
      </c>
      <c r="B130" s="36" t="s">
        <v>362</v>
      </c>
      <c r="C130" s="37"/>
      <c r="D130" s="37"/>
      <c r="E130" s="38"/>
      <c r="F130" s="39">
        <f>IF($H$9="fld",VLOOKUP(A130,'price sheet'!$A$3:$F$162,2,FALSE),IF($H$9="ret",VLOOKUP(A130,'price sheet'!$A$3:$F$162,3,FALSE),IF($H$9="aff",VLOOKUP(A130,'price sheet'!$A$3:$F$162,4,FALSE),VLOOKUP(A130,'price sheet'!$A$3:$F$162,3,FALSE))))</f>
        <v>0.67</v>
      </c>
      <c r="G130" s="5"/>
      <c r="H130" s="40" t="str">
        <f>IF($H$9="ret","N/A","FREE")</f>
        <v>FREE</v>
      </c>
      <c r="I130" s="123"/>
      <c r="L130" s="19">
        <f t="shared" si="32"/>
        <v>0</v>
      </c>
      <c r="M130" s="19">
        <f t="shared" si="33"/>
        <v>0</v>
      </c>
      <c r="N130" s="19">
        <f t="shared" si="34"/>
        <v>0</v>
      </c>
      <c r="O130" s="117">
        <f t="shared" si="35"/>
        <v>0</v>
      </c>
    </row>
    <row r="131" spans="1:15" s="41" customFormat="1">
      <c r="A131" s="35" t="s">
        <v>249</v>
      </c>
      <c r="B131" s="36" t="s">
        <v>250</v>
      </c>
      <c r="C131" s="37"/>
      <c r="D131" s="37"/>
      <c r="E131" s="38"/>
      <c r="F131" s="39">
        <f>IF($H$9="fld",VLOOKUP(A131,'price sheet'!$A$3:$F$162,2,FALSE),IF($H$9="ret",VLOOKUP(A131,'price sheet'!$A$3:$F$162,3,FALSE),IF($H$9="aff",VLOOKUP(A131,'price sheet'!$A$3:$F$162,4,FALSE),VLOOKUP(A131,'price sheet'!$A$3:$F$162,3,FALSE))))</f>
        <v>40</v>
      </c>
      <c r="G131" s="5"/>
      <c r="H131" s="40" t="str">
        <f>IF($H$9="ret","N/A","FREE")</f>
        <v>FREE</v>
      </c>
      <c r="I131" s="123"/>
      <c r="L131" s="19">
        <f t="shared" si="32"/>
        <v>0</v>
      </c>
      <c r="M131" s="19">
        <f t="shared" si="33"/>
        <v>0</v>
      </c>
      <c r="N131" s="19">
        <f t="shared" si="34"/>
        <v>0</v>
      </c>
      <c r="O131" s="117">
        <f t="shared" si="35"/>
        <v>0</v>
      </c>
    </row>
    <row r="132" spans="1:15" s="41" customFormat="1">
      <c r="A132" s="35" t="s">
        <v>251</v>
      </c>
      <c r="B132" s="36" t="s">
        <v>252</v>
      </c>
      <c r="C132" s="37"/>
      <c r="D132" s="37"/>
      <c r="E132" s="38"/>
      <c r="F132" s="39" t="e">
        <f>IF($H$9="fld",VLOOKUP(A132,'price sheet'!$A$3:$F$162,2,FALSE),IF($H$9="ret",VLOOKUP(A132,'price sheet'!$A$3:$F$162,3,FALSE),IF($H$9="aff",VLOOKUP(A132,'price sheet'!$A$3:$F$162,4,FALSE),VLOOKUP(A132,'price sheet'!$A$3:$F$162,3,FALSE))))</f>
        <v>#N/A</v>
      </c>
      <c r="G132" s="5"/>
      <c r="H132" s="40" t="str">
        <f>IF($H$9="ret","N/A","FREE")</f>
        <v>FREE</v>
      </c>
      <c r="I132" s="123"/>
      <c r="L132" s="19">
        <f t="shared" si="32"/>
        <v>0</v>
      </c>
      <c r="M132" s="19">
        <f t="shared" si="33"/>
        <v>0</v>
      </c>
      <c r="N132" s="19">
        <f t="shared" si="34"/>
        <v>0</v>
      </c>
      <c r="O132" s="117">
        <f t="shared" si="35"/>
        <v>0</v>
      </c>
    </row>
    <row r="133" spans="1:15" s="41" customFormat="1">
      <c r="A133" s="35" t="s">
        <v>253</v>
      </c>
      <c r="B133" s="36" t="s">
        <v>254</v>
      </c>
      <c r="C133" s="37"/>
      <c r="D133" s="37"/>
      <c r="E133" s="38"/>
      <c r="F133" s="39" t="e">
        <f>IF($H$9="fld",VLOOKUP(A133,'price sheet'!$A$3:$F$162,2,FALSE),IF($H$9="ret",VLOOKUP(A133,'price sheet'!$A$3:$F$162,3,FALSE),IF($H$9="aff",VLOOKUP(A133,'price sheet'!$A$3:$F$162,4,FALSE),VLOOKUP(A133,'price sheet'!$A$3:$F$162,3,FALSE))))</f>
        <v>#N/A</v>
      </c>
      <c r="G133" s="5"/>
      <c r="H133" s="40" t="e">
        <f>IF($H$9="afF","N/A",IF($H$9="ret","N/A",F133*G133))</f>
        <v>#N/A</v>
      </c>
      <c r="I133" s="123"/>
      <c r="L133" s="19" t="e">
        <f t="shared" si="32"/>
        <v>#N/A</v>
      </c>
      <c r="M133" s="19" t="e">
        <f t="shared" si="33"/>
        <v>#N/A</v>
      </c>
      <c r="N133" s="19" t="e">
        <f t="shared" si="34"/>
        <v>#N/A</v>
      </c>
      <c r="O133" s="117">
        <f>IF($H$9="fld",IF(I133&gt;0,H133*$G$205,0),SUM(L133:N133))</f>
        <v>0</v>
      </c>
    </row>
    <row r="134" spans="1:15" s="41" customFormat="1">
      <c r="A134" s="35" t="s">
        <v>255</v>
      </c>
      <c r="B134" s="36" t="s">
        <v>256</v>
      </c>
      <c r="C134" s="37"/>
      <c r="D134" s="37"/>
      <c r="E134" s="38"/>
      <c r="F134" s="39" t="e">
        <f>IF($H$9="fld",VLOOKUP(A134,'price sheet'!$A$3:$F$162,2,FALSE),IF($H$9="ret",VLOOKUP(A134,'price sheet'!$A$3:$F$162,3,FALSE),IF($H$9="aff",VLOOKUP(A134,'price sheet'!$A$3:$F$162,4,FALSE),VLOOKUP(A134,'price sheet'!$A$3:$F$162,3,FALSE))))</f>
        <v>#N/A</v>
      </c>
      <c r="G134" s="5"/>
      <c r="H134" s="40" t="str">
        <f>IF($H$9="ret","N/A","FREE")</f>
        <v>FREE</v>
      </c>
      <c r="I134" s="123"/>
      <c r="L134" s="19">
        <f t="shared" si="32"/>
        <v>0</v>
      </c>
      <c r="M134" s="19">
        <f t="shared" si="33"/>
        <v>0</v>
      </c>
      <c r="N134" s="19">
        <f t="shared" si="34"/>
        <v>0</v>
      </c>
      <c r="O134" s="117">
        <f>IF($H$9="fld",IF(I134&gt;0,0*$G$205,0),SUM(L134:N134))</f>
        <v>0</v>
      </c>
    </row>
    <row r="135" spans="1:15" s="41" customFormat="1">
      <c r="A135" s="35" t="s">
        <v>265</v>
      </c>
      <c r="B135" s="36" t="s">
        <v>261</v>
      </c>
      <c r="C135" s="37"/>
      <c r="D135" s="37"/>
      <c r="E135" s="38"/>
      <c r="F135" s="39">
        <f>IF($H$9="fld",VLOOKUP(A135,'price sheet'!$A$3:$F$162,2,FALSE),IF($H$9="ret",VLOOKUP(A135,'price sheet'!$A$3:$F$162,3,FALSE),IF($H$9="aff",VLOOKUP(A135,'price sheet'!$A$3:$F$162,4,FALSE),VLOOKUP(A135,'price sheet'!$A$3:$F$162,3,FALSE))))</f>
        <v>0.67</v>
      </c>
      <c r="G135" s="5"/>
      <c r="H135" s="40" t="str">
        <f>IF($H$9="ret","N/A","FREE")</f>
        <v>FREE</v>
      </c>
      <c r="I135" s="123"/>
      <c r="L135" s="19">
        <f t="shared" si="32"/>
        <v>0</v>
      </c>
      <c r="M135" s="19">
        <f t="shared" si="33"/>
        <v>0</v>
      </c>
      <c r="N135" s="19">
        <f t="shared" si="34"/>
        <v>0</v>
      </c>
      <c r="O135" s="117">
        <f>IF($H$9="fld",IF(I135&gt;0,0*$G$205,0),SUM(L135:N135))</f>
        <v>0</v>
      </c>
    </row>
    <row r="136" spans="1:15" s="41" customFormat="1">
      <c r="A136" s="35" t="s">
        <v>266</v>
      </c>
      <c r="B136" s="36" t="s">
        <v>267</v>
      </c>
      <c r="C136" s="37"/>
      <c r="D136" s="37"/>
      <c r="E136" s="38"/>
      <c r="F136" s="39">
        <f>IF($H$9="fld",VLOOKUP(A136,'price sheet'!$A$3:$F$162,2,FALSE),IF($H$9="ret",VLOOKUP(A136,'price sheet'!$A$3:$F$162,3,FALSE),IF($H$9="aff",VLOOKUP(A136,'price sheet'!$A$3:$F$162,4,FALSE),VLOOKUP(A136,'price sheet'!$A$3:$F$162,3,FALSE))))</f>
        <v>4.6900000000000004</v>
      </c>
      <c r="G136" s="5"/>
      <c r="H136" s="40">
        <f>IF($H$9="afF","N/A",IF($H$9="ret","N/A",F136*G136))</f>
        <v>0</v>
      </c>
      <c r="I136" s="123"/>
      <c r="L136" s="19">
        <f t="shared" si="32"/>
        <v>0</v>
      </c>
      <c r="M136" s="19">
        <f t="shared" si="33"/>
        <v>0</v>
      </c>
      <c r="N136" s="19">
        <f t="shared" si="34"/>
        <v>0</v>
      </c>
      <c r="O136" s="117">
        <f>IF($H$9="fld",IF(I136&gt;0,H136*$G$205,0),SUM(L136:N136))</f>
        <v>0</v>
      </c>
    </row>
    <row r="137" spans="1:15" s="41" customFormat="1">
      <c r="A137" s="35" t="s">
        <v>329</v>
      </c>
      <c r="B137" s="36" t="s">
        <v>331</v>
      </c>
      <c r="C137" s="37"/>
      <c r="D137" s="37"/>
      <c r="E137" s="38"/>
      <c r="F137" s="39" t="e">
        <f>IF($H$9="fld",VLOOKUP(A137,'price sheet'!$A$3:$F$162,2,FALSE),IF($H$9="ret",VLOOKUP(A137,'price sheet'!$A$3:$F$162,3,FALSE),IF($H$9="aff",VLOOKUP(A137,'price sheet'!$A$3:$F$162,4,FALSE),VLOOKUP(A137,'price sheet'!$A$3:$F$162,3,FALSE))))</f>
        <v>#N/A</v>
      </c>
      <c r="G137" s="5"/>
      <c r="H137" s="40" t="e">
        <f>F137*G137</f>
        <v>#N/A</v>
      </c>
      <c r="I137" s="123"/>
      <c r="L137" s="19"/>
      <c r="M137" s="19"/>
      <c r="N137" s="19"/>
      <c r="O137" s="117"/>
    </row>
    <row r="138" spans="1:15" s="41" customFormat="1">
      <c r="A138" s="35" t="s">
        <v>330</v>
      </c>
      <c r="B138" s="36" t="s">
        <v>332</v>
      </c>
      <c r="C138" s="37"/>
      <c r="D138" s="37"/>
      <c r="E138" s="38"/>
      <c r="F138" s="39" t="e">
        <f>IF($H$9="fld",VLOOKUP(A138,'price sheet'!$A$3:$F$162,2,FALSE),IF($H$9="ret",VLOOKUP(A138,'price sheet'!$A$3:$F$162,3,FALSE),IF($H$9="aff",VLOOKUP(A138,'price sheet'!$A$3:$F$162,4,FALSE),VLOOKUP(A138,'price sheet'!$A$3:$F$162,3,FALSE))))</f>
        <v>#N/A</v>
      </c>
      <c r="G138" s="5"/>
      <c r="H138" s="40" t="e">
        <f>F138*G138</f>
        <v>#N/A</v>
      </c>
      <c r="I138" s="123"/>
      <c r="L138" s="19"/>
      <c r="M138" s="19"/>
      <c r="N138" s="19"/>
      <c r="O138" s="117"/>
    </row>
    <row r="139" spans="1:15" s="41" customFormat="1">
      <c r="A139" s="35" t="s">
        <v>337</v>
      </c>
      <c r="B139" s="36" t="s">
        <v>349</v>
      </c>
      <c r="C139" s="37"/>
      <c r="D139" s="37"/>
      <c r="E139" s="38"/>
      <c r="F139" s="39"/>
      <c r="G139" s="140"/>
      <c r="H139" s="40"/>
      <c r="I139" s="123"/>
      <c r="L139" s="19"/>
      <c r="M139" s="19"/>
      <c r="N139" s="19"/>
      <c r="O139" s="117"/>
    </row>
    <row r="140" spans="1:15" s="41" customFormat="1">
      <c r="A140" s="35"/>
      <c r="B140" s="36" t="s">
        <v>346</v>
      </c>
      <c r="C140" s="37" t="s">
        <v>347</v>
      </c>
      <c r="D140" s="37" t="s">
        <v>348</v>
      </c>
      <c r="E140" s="38"/>
      <c r="F140" s="39"/>
      <c r="G140" s="140"/>
      <c r="H140" s="40"/>
      <c r="I140" s="123"/>
      <c r="L140" s="19"/>
      <c r="M140" s="19"/>
      <c r="N140" s="19"/>
      <c r="O140" s="117"/>
    </row>
    <row r="141" spans="1:15" s="41" customFormat="1">
      <c r="A141" s="35" t="s">
        <v>343</v>
      </c>
      <c r="B141" s="37" t="s">
        <v>340</v>
      </c>
      <c r="C141" s="37"/>
      <c r="D141" s="37"/>
      <c r="E141" s="38"/>
      <c r="F141" s="39" t="e">
        <f>IF($H$9="fld",VLOOKUP(A141,'price sheet'!$A$3:$F$162,2,FALSE),IF($H$9="ret",VLOOKUP(A141,'price sheet'!$A$3:$F$162,3,FALSE),IF($H$9="aff",VLOOKUP(A141,'price sheet'!$A$3:$F$162,4,FALSE),VLOOKUP(A141,'price sheet'!$A$3:$F$162,3,FALSE))))</f>
        <v>#N/A</v>
      </c>
      <c r="G141" s="5"/>
      <c r="H141" s="40" t="e">
        <f>IF($H$9="afl",F141*G141,IF($H$9="ret","N/A",F141*G141))</f>
        <v>#N/A</v>
      </c>
      <c r="I141" s="123"/>
      <c r="L141" s="19"/>
      <c r="M141" s="19"/>
      <c r="N141" s="19"/>
      <c r="O141" s="117"/>
    </row>
    <row r="142" spans="1:15" s="41" customFormat="1">
      <c r="A142" s="35" t="s">
        <v>344</v>
      </c>
      <c r="B142" s="37" t="s">
        <v>341</v>
      </c>
      <c r="C142" s="37"/>
      <c r="D142" s="37"/>
      <c r="E142" s="38"/>
      <c r="F142" s="39" t="e">
        <f>IF($H$9="fld",VLOOKUP(A142,'price sheet'!$A$3:$F$162,2,FALSE),IF($H$9="ret",VLOOKUP(A142,'price sheet'!$A$3:$F$162,3,FALSE),IF($H$9="aff",VLOOKUP(A142,'price sheet'!$A$3:$F$162,4,FALSE),VLOOKUP(A142,'price sheet'!$A$3:$F$162,3,FALSE))))</f>
        <v>#N/A</v>
      </c>
      <c r="G142" s="5"/>
      <c r="H142" s="40" t="e">
        <f>IF($H$9="afl",F142*G142,IF($H$9="ret","N/A",F142*G142))</f>
        <v>#N/A</v>
      </c>
      <c r="I142" s="123"/>
      <c r="L142" s="19"/>
      <c r="M142" s="19"/>
      <c r="N142" s="19"/>
      <c r="O142" s="117"/>
    </row>
    <row r="143" spans="1:15" s="41" customFormat="1">
      <c r="A143" s="35" t="s">
        <v>345</v>
      </c>
      <c r="B143" s="37" t="s">
        <v>342</v>
      </c>
      <c r="C143" s="37"/>
      <c r="D143" s="37"/>
      <c r="E143" s="38"/>
      <c r="F143" s="39" t="e">
        <f>IF($H$9="fld",VLOOKUP(A143,'price sheet'!$A$3:$F$162,2,FALSE),IF($H$9="ret",VLOOKUP(A143,'price sheet'!$A$3:$F$162,3,FALSE),IF($H$9="aff",VLOOKUP(A143,'price sheet'!$A$3:$F$162,4,FALSE),VLOOKUP(A143,'price sheet'!$A$3:$F$162,3,FALSE))))</f>
        <v>#N/A</v>
      </c>
      <c r="G143" s="5"/>
      <c r="H143" s="40" t="e">
        <f>IF($H$9="afl",F143*G143,IF($H$9="ret","N/A",F143*G143))</f>
        <v>#N/A</v>
      </c>
      <c r="I143" s="123"/>
      <c r="L143" s="19"/>
      <c r="M143" s="19"/>
      <c r="N143" s="19"/>
      <c r="O143" s="117"/>
    </row>
    <row r="144" spans="1:15" s="41" customFormat="1">
      <c r="A144" s="35" t="s">
        <v>338</v>
      </c>
      <c r="B144" s="36" t="s">
        <v>339</v>
      </c>
      <c r="C144" s="37"/>
      <c r="D144" s="37"/>
      <c r="E144" s="38"/>
      <c r="F144" s="39" t="e">
        <f>IF($H$9="fld",VLOOKUP(A144,'price sheet'!$A$3:$F$162,2,FALSE),IF($H$9="ret",VLOOKUP(A144,'price sheet'!$A$3:$F$162,3,FALSE),IF($H$9="aff",VLOOKUP(A144,'price sheet'!$A$3:$F$162,4,FALSE),VLOOKUP(A144,'price sheet'!$A$3:$F$162,3,FALSE))))</f>
        <v>#N/A</v>
      </c>
      <c r="G144" s="5"/>
      <c r="H144" s="40" t="e">
        <f>IF($H$9="afl",F144*G144,IF($H$9="ret","N/A",F144*G144))</f>
        <v>#N/A</v>
      </c>
      <c r="I144" s="123"/>
      <c r="L144" s="19"/>
      <c r="M144" s="19"/>
      <c r="N144" s="19"/>
      <c r="O144" s="117"/>
    </row>
    <row r="145" spans="1:16" s="41" customFormat="1">
      <c r="A145" s="35" t="s">
        <v>353</v>
      </c>
      <c r="B145" s="36" t="s">
        <v>354</v>
      </c>
      <c r="C145" s="37"/>
      <c r="D145" s="37"/>
      <c r="E145" s="38"/>
      <c r="F145" s="39" t="e">
        <f>IF($H$9="fld",VLOOKUP(A145,'price sheet'!$A$3:$F$162,2,FALSE),IF($H$9="ret",VLOOKUP(A145,'price sheet'!$A$3:$F$162,3,FALSE),IF($H$9="aff",VLOOKUP(A145,'price sheet'!$A$3:$F$162,4,FALSE),VLOOKUP(A145,'price sheet'!$A$3:$F$162,3,FALSE))))</f>
        <v>#N/A</v>
      </c>
      <c r="G145" s="5"/>
      <c r="H145" s="40" t="e">
        <f>F145*G145</f>
        <v>#N/A</v>
      </c>
      <c r="I145" s="123"/>
      <c r="L145" s="19"/>
      <c r="M145" s="19"/>
      <c r="N145" s="19"/>
      <c r="O145" s="117"/>
    </row>
    <row r="146" spans="1:16" s="41" customFormat="1">
      <c r="A146" s="35" t="s">
        <v>355</v>
      </c>
      <c r="B146" s="36" t="s">
        <v>356</v>
      </c>
      <c r="C146" s="37"/>
      <c r="D146" s="37"/>
      <c r="E146" s="38"/>
      <c r="F146" s="39" t="e">
        <f>IF($H$9="fld",VLOOKUP(A146,'price sheet'!$A$3:$F$162,2,FALSE),IF($H$9="ret",VLOOKUP(A146,'price sheet'!$A$3:$F$162,3,FALSE),IF($H$9="aff",VLOOKUP(A146,'price sheet'!$A$3:$F$162,4,FALSE),VLOOKUP(A146,'price sheet'!$A$3:$F$162,3,FALSE))))</f>
        <v>#N/A</v>
      </c>
      <c r="G146" s="5"/>
      <c r="H146" s="40" t="e">
        <f>F146*G146</f>
        <v>#N/A</v>
      </c>
      <c r="I146" s="123"/>
      <c r="L146" s="19"/>
      <c r="M146" s="19"/>
      <c r="N146" s="19"/>
      <c r="O146" s="117"/>
    </row>
    <row r="147" spans="1:16" s="41" customFormat="1">
      <c r="A147" s="35" t="s">
        <v>290</v>
      </c>
      <c r="B147" s="36" t="s">
        <v>288</v>
      </c>
      <c r="C147" s="135"/>
      <c r="D147" s="135"/>
      <c r="E147" s="136"/>
      <c r="F147" s="39" t="e">
        <f>IF($H$9="fld",VLOOKUP(A147,'price sheet'!$A$3:$F$162,2,FALSE),IF($H$9="ret",VLOOKUP(A147,'price sheet'!$A$3:$F$162,3,FALSE),IF($H$9="aff",VLOOKUP(A147,'price sheet'!$A$3:$F$162,4,FALSE),VLOOKUP(A147,'price sheet'!$A$3:$F$162,3,FALSE))))</f>
        <v>#N/A</v>
      </c>
      <c r="G147" s="5"/>
      <c r="H147" s="40" t="e">
        <f>F147*G147</f>
        <v>#N/A</v>
      </c>
      <c r="I147" s="123"/>
      <c r="L147" s="19" t="e">
        <f>IF(H147="n/a",0,IF(G147&gt;9,H147*15%,0))</f>
        <v>#N/A</v>
      </c>
      <c r="M147" s="19" t="e">
        <f>IF(H147="n/a",0,IF(G147&gt;50,H147*10%,0))</f>
        <v>#N/A</v>
      </c>
      <c r="N147" s="19" t="e">
        <f>IF(H147="n/a",0,IF(G147&gt;100,H147*5%,0))</f>
        <v>#N/A</v>
      </c>
      <c r="O147" s="117">
        <f>IF($H$9="fld",IF(I147&gt;0,H147*$G$205,0),SUM(L147:N147))</f>
        <v>0</v>
      </c>
    </row>
    <row r="148" spans="1:16" s="41" customFormat="1">
      <c r="A148" s="35" t="s">
        <v>289</v>
      </c>
      <c r="B148" s="36" t="s">
        <v>288</v>
      </c>
      <c r="C148" s="135"/>
      <c r="D148" s="135"/>
      <c r="E148" s="136"/>
      <c r="F148" s="39" t="e">
        <f>IF($H$9="fld",VLOOKUP(A148,'price sheet'!$A$3:$F$162,2,FALSE),IF($H$9="ret",VLOOKUP(A148,'price sheet'!$A$3:$F$162,3,FALSE),IF($H$9="aff",VLOOKUP(A148,'price sheet'!$A$3:$F$162,4,FALSE),VLOOKUP(A148,'price sheet'!$A$3:$F$162,3,FALSE))))</f>
        <v>#N/A</v>
      </c>
      <c r="G148" s="5"/>
      <c r="H148" s="40" t="e">
        <f t="shared" ref="H148:H195" si="36">F148*G148</f>
        <v>#N/A</v>
      </c>
      <c r="I148" s="123"/>
      <c r="L148" s="19" t="e">
        <f>IF(H148="n/a",0,IF(G148&gt;9,H148*15%,0))</f>
        <v>#N/A</v>
      </c>
      <c r="M148" s="19" t="e">
        <f>IF(H148="n/a",0,IF(G148&gt;50,H148*10%,0))</f>
        <v>#N/A</v>
      </c>
      <c r="N148" s="19" t="e">
        <f>IF(H148="n/a",0,IF(G148&gt;100,H148*5%,0))</f>
        <v>#N/A</v>
      </c>
      <c r="O148" s="117">
        <f>IF($H$9="fld",IF(I148&gt;0,H148*$G$205,0),SUM(L148:N148))</f>
        <v>0</v>
      </c>
    </row>
    <row r="149" spans="1:16" s="41" customFormat="1">
      <c r="A149" s="145"/>
      <c r="B149" s="48"/>
      <c r="C149" s="43"/>
      <c r="D149" s="43"/>
      <c r="E149" s="103"/>
      <c r="F149" s="143"/>
      <c r="G149" s="44" t="s">
        <v>63</v>
      </c>
      <c r="H149" s="64" t="e">
        <f>SUM(H113:H148)</f>
        <v>#N/A</v>
      </c>
      <c r="I149" s="123"/>
      <c r="L149" s="19"/>
      <c r="O149" s="117"/>
    </row>
    <row r="150" spans="1:16" s="66" customFormat="1" ht="15">
      <c r="A150" s="65" t="s">
        <v>65</v>
      </c>
      <c r="B150" s="50" t="s">
        <v>195</v>
      </c>
      <c r="C150" s="51"/>
      <c r="D150" s="51"/>
      <c r="E150" s="52"/>
      <c r="F150" s="39" t="s">
        <v>142</v>
      </c>
      <c r="G150" s="40"/>
      <c r="H150" s="40"/>
      <c r="I150" s="125"/>
      <c r="L150" s="34">
        <v>0.15</v>
      </c>
      <c r="M150" s="34">
        <v>0.25</v>
      </c>
      <c r="N150" s="34">
        <v>0.3</v>
      </c>
      <c r="O150" s="118" t="s">
        <v>22</v>
      </c>
    </row>
    <row r="151" spans="1:16" s="41" customFormat="1">
      <c r="A151" s="35" t="s">
        <v>196</v>
      </c>
      <c r="B151" s="36" t="s">
        <v>197</v>
      </c>
      <c r="C151" s="37"/>
      <c r="D151" s="37"/>
      <c r="E151" s="38"/>
      <c r="F151" s="39">
        <f>IF($H$9="fld",VLOOKUP(A151,'price sheet'!$A$3:$F$162,2,FALSE),IF($H$9="ret",VLOOKUP(A151,'price sheet'!$A$3:$F$162,3,FALSE),IF($H$9="afl",VLOOKUP(A151,'price sheet'!$A$3:$F$162,4,FALSE),VLOOKUP(A151,'price sheet'!$A$3:$F$162,3,FALSE))))</f>
        <v>0</v>
      </c>
      <c r="G151" s="5"/>
      <c r="H151" s="40">
        <f>F151*G151</f>
        <v>0</v>
      </c>
      <c r="I151" s="123"/>
      <c r="L151" s="19">
        <f t="shared" ref="L151:L195" si="37">IF($H$9="ret",IF(G151&gt;9,H151*15%,0),0)</f>
        <v>0</v>
      </c>
      <c r="M151" s="19">
        <f t="shared" ref="M151:M195" si="38">IF($H$9="ret",IF(G151&gt;50,H151*10%,0),0)</f>
        <v>0</v>
      </c>
      <c r="N151" s="19">
        <f t="shared" ref="N151:N195" si="39">IF($H$9="ret",IF(G151&gt;100,H151*5%,0),0)</f>
        <v>0</v>
      </c>
      <c r="O151" s="117">
        <f t="shared" ref="O151:O181" si="40">IF($H$9="fld",IF(I151&gt;0,H151*$G$205,0),SUM(L151:N151))</f>
        <v>0</v>
      </c>
      <c r="P151" s="19"/>
    </row>
    <row r="152" spans="1:16" s="41" customFormat="1">
      <c r="A152" s="35"/>
      <c r="B152" s="36" t="s">
        <v>198</v>
      </c>
      <c r="C152" s="37"/>
      <c r="D152" s="37"/>
      <c r="E152" s="38"/>
      <c r="F152" s="39"/>
      <c r="G152" s="140"/>
      <c r="H152" s="141"/>
      <c r="I152" s="123"/>
      <c r="L152" s="19">
        <f t="shared" si="37"/>
        <v>0</v>
      </c>
      <c r="M152" s="19">
        <f t="shared" si="38"/>
        <v>0</v>
      </c>
      <c r="N152" s="19">
        <f t="shared" si="39"/>
        <v>0</v>
      </c>
      <c r="O152" s="117">
        <f t="shared" si="40"/>
        <v>0</v>
      </c>
      <c r="P152" s="19"/>
    </row>
    <row r="153" spans="1:16" s="41" customFormat="1">
      <c r="A153" s="35" t="s">
        <v>284</v>
      </c>
      <c r="B153" s="36" t="s">
        <v>199</v>
      </c>
      <c r="C153" s="37"/>
      <c r="D153" s="37"/>
      <c r="E153" s="38"/>
      <c r="F153" s="39" t="e">
        <f>IF($H$9="fld",VLOOKUP(A153,'price sheet'!$A$3:$F$162,2,FALSE),IF($H$9="ret",VLOOKUP(A153,'price sheet'!$A$3:$F$162,3,FALSE),IF($H$9="afl",VLOOKUP(A153,'price sheet'!$A$3:$F$162,4,FALSE),VLOOKUP(A153,'price sheet'!$A$3:$F$162,3,FALSE))))</f>
        <v>#N/A</v>
      </c>
      <c r="G153" s="5"/>
      <c r="H153" s="40" t="e">
        <f t="shared" si="36"/>
        <v>#N/A</v>
      </c>
      <c r="I153" s="123"/>
      <c r="L153" s="19">
        <f t="shared" si="37"/>
        <v>0</v>
      </c>
      <c r="M153" s="19">
        <f t="shared" si="38"/>
        <v>0</v>
      </c>
      <c r="N153" s="19">
        <f t="shared" si="39"/>
        <v>0</v>
      </c>
      <c r="O153" s="117">
        <f t="shared" si="40"/>
        <v>0</v>
      </c>
      <c r="P153" s="19"/>
    </row>
    <row r="154" spans="1:16" s="41" customFormat="1">
      <c r="A154" s="35" t="s">
        <v>287</v>
      </c>
      <c r="B154" s="36" t="s">
        <v>200</v>
      </c>
      <c r="C154" s="37"/>
      <c r="D154" s="37"/>
      <c r="E154" s="38"/>
      <c r="F154" s="39" t="e">
        <f>IF($H$9="fld",VLOOKUP(A154,'price sheet'!$A$3:$F$162,2,FALSE),IF($H$9="ret",VLOOKUP(A154,'price sheet'!$A$3:$F$162,3,FALSE),IF($H$9="afl",VLOOKUP(A154,'price sheet'!$A$3:$F$162,4,FALSE),VLOOKUP(A154,'price sheet'!$A$3:$F$162,3,FALSE))))</f>
        <v>#N/A</v>
      </c>
      <c r="G154" s="5"/>
      <c r="H154" s="40" t="e">
        <f t="shared" si="36"/>
        <v>#N/A</v>
      </c>
      <c r="I154" s="123"/>
      <c r="L154" s="19">
        <f t="shared" si="37"/>
        <v>0</v>
      </c>
      <c r="M154" s="19">
        <f t="shared" si="38"/>
        <v>0</v>
      </c>
      <c r="N154" s="19">
        <f t="shared" si="39"/>
        <v>0</v>
      </c>
      <c r="O154" s="117">
        <f t="shared" si="40"/>
        <v>0</v>
      </c>
      <c r="P154" s="19"/>
    </row>
    <row r="155" spans="1:16" s="41" customFormat="1">
      <c r="A155" s="35" t="s">
        <v>285</v>
      </c>
      <c r="B155" s="36" t="s">
        <v>201</v>
      </c>
      <c r="C155" s="37"/>
      <c r="D155" s="37"/>
      <c r="E155" s="38"/>
      <c r="F155" s="39" t="e">
        <f>IF($H$9="fld",VLOOKUP(A155,'price sheet'!$A$3:$F$162,2,FALSE),IF($H$9="ret",VLOOKUP(A155,'price sheet'!$A$3:$F$162,3,FALSE),IF($H$9="afl",VLOOKUP(A155,'price sheet'!$A$3:$F$162,4,FALSE),VLOOKUP(A155,'price sheet'!$A$3:$F$162,3,FALSE))))</f>
        <v>#N/A</v>
      </c>
      <c r="G155" s="5"/>
      <c r="H155" s="40" t="e">
        <f t="shared" si="36"/>
        <v>#N/A</v>
      </c>
      <c r="I155" s="123"/>
      <c r="L155" s="19">
        <f t="shared" si="37"/>
        <v>0</v>
      </c>
      <c r="M155" s="19">
        <f t="shared" si="38"/>
        <v>0</v>
      </c>
      <c r="N155" s="19">
        <f t="shared" si="39"/>
        <v>0</v>
      </c>
      <c r="O155" s="117">
        <f t="shared" si="40"/>
        <v>0</v>
      </c>
      <c r="P155" s="19"/>
    </row>
    <row r="156" spans="1:16" s="41" customFormat="1">
      <c r="A156" s="35" t="s">
        <v>286</v>
      </c>
      <c r="B156" s="36" t="s">
        <v>202</v>
      </c>
      <c r="C156" s="37"/>
      <c r="D156" s="37"/>
      <c r="E156" s="38"/>
      <c r="F156" s="39" t="e">
        <f>IF($H$9="fld",VLOOKUP(A156,'price sheet'!$A$3:$F$162,2,FALSE),IF($H$9="ret",VLOOKUP(A156,'price sheet'!$A$3:$F$162,3,FALSE),IF($H$9="afl",VLOOKUP(A156,'price sheet'!$A$3:$F$162,4,FALSE),VLOOKUP(A156,'price sheet'!$A$3:$F$162,3,FALSE))))</f>
        <v>#N/A</v>
      </c>
      <c r="G156" s="5"/>
      <c r="H156" s="40" t="e">
        <f t="shared" si="36"/>
        <v>#N/A</v>
      </c>
      <c r="I156" s="123"/>
      <c r="L156" s="19">
        <f t="shared" si="37"/>
        <v>0</v>
      </c>
      <c r="M156" s="19">
        <f t="shared" si="38"/>
        <v>0</v>
      </c>
      <c r="N156" s="19">
        <f t="shared" si="39"/>
        <v>0</v>
      </c>
      <c r="O156" s="117">
        <f t="shared" si="40"/>
        <v>0</v>
      </c>
      <c r="P156" s="19"/>
    </row>
    <row r="157" spans="1:16" s="41" customFormat="1">
      <c r="A157" s="35"/>
      <c r="B157" s="36" t="s">
        <v>203</v>
      </c>
      <c r="C157" s="37"/>
      <c r="D157" s="37"/>
      <c r="E157" s="38"/>
      <c r="F157" s="39"/>
      <c r="G157" s="100"/>
      <c r="H157" s="40"/>
      <c r="I157" s="123"/>
      <c r="L157" s="19">
        <f t="shared" si="37"/>
        <v>0</v>
      </c>
      <c r="M157" s="19">
        <f t="shared" si="38"/>
        <v>0</v>
      </c>
      <c r="N157" s="19">
        <f t="shared" si="39"/>
        <v>0</v>
      </c>
      <c r="O157" s="117">
        <f t="shared" si="40"/>
        <v>0</v>
      </c>
      <c r="P157" s="19"/>
    </row>
    <row r="158" spans="1:16" s="41" customFormat="1">
      <c r="A158" s="35" t="s">
        <v>204</v>
      </c>
      <c r="B158" s="36" t="s">
        <v>198</v>
      </c>
      <c r="C158" s="37"/>
      <c r="D158" s="37"/>
      <c r="E158" s="38"/>
      <c r="F158" s="39">
        <f>IF($H$9="fld",VLOOKUP(A158,'price sheet'!$A$3:$F$162,2,FALSE),IF($H$9="ret",VLOOKUP(A158,'price sheet'!$A$3:$F$162,3,FALSE),IF($H$9="afl",VLOOKUP(A158,'price sheet'!$A$3:$F$162,4,FALSE),VLOOKUP(A158,'price sheet'!$A$3:$F$162,3,FALSE))))</f>
        <v>5.335</v>
      </c>
      <c r="G158" s="5"/>
      <c r="H158" s="40"/>
      <c r="I158" s="123"/>
      <c r="L158" s="19">
        <f t="shared" si="37"/>
        <v>0</v>
      </c>
      <c r="M158" s="19">
        <f t="shared" si="38"/>
        <v>0</v>
      </c>
      <c r="N158" s="19">
        <f t="shared" si="39"/>
        <v>0</v>
      </c>
      <c r="O158" s="117">
        <f t="shared" si="40"/>
        <v>0</v>
      </c>
      <c r="P158" s="19"/>
    </row>
    <row r="159" spans="1:16" s="41" customFormat="1">
      <c r="A159" s="35" t="s">
        <v>291</v>
      </c>
      <c r="B159" s="36"/>
      <c r="C159" s="37" t="s">
        <v>207</v>
      </c>
      <c r="D159" s="37"/>
      <c r="E159" s="38"/>
      <c r="F159" s="39" t="e">
        <f>IF($H$9="fld",VLOOKUP(A159,'price sheet'!$A$3:$F$162,2,FALSE),IF($H$9="ret",VLOOKUP(A159,'price sheet'!$A$3:$F$162,3,FALSE),IF($H$9="afl",VLOOKUP(A159,'price sheet'!$A$3:$F$162,4,FALSE),VLOOKUP(A159,'price sheet'!$A$3:$F$162,3,FALSE))))</f>
        <v>#N/A</v>
      </c>
      <c r="G159" s="5"/>
      <c r="H159" s="40" t="e">
        <f t="shared" si="36"/>
        <v>#N/A</v>
      </c>
      <c r="I159" s="123"/>
      <c r="L159" s="19">
        <f t="shared" si="37"/>
        <v>0</v>
      </c>
      <c r="M159" s="19">
        <f t="shared" si="38"/>
        <v>0</v>
      </c>
      <c r="N159" s="19">
        <f t="shared" si="39"/>
        <v>0</v>
      </c>
      <c r="O159" s="117">
        <f t="shared" si="40"/>
        <v>0</v>
      </c>
      <c r="P159" s="19"/>
    </row>
    <row r="160" spans="1:16" s="41" customFormat="1">
      <c r="A160" s="35" t="s">
        <v>292</v>
      </c>
      <c r="B160" s="36"/>
      <c r="C160" s="37" t="s">
        <v>200</v>
      </c>
      <c r="D160" s="37"/>
      <c r="E160" s="38"/>
      <c r="F160" s="39" t="e">
        <f>IF($H$9="fld",VLOOKUP(A160,'price sheet'!$A$3:$F$162,2,FALSE),IF($H$9="ret",VLOOKUP(A160,'price sheet'!$A$3:$F$162,3,FALSE),IF($H$9="afl",VLOOKUP(A160,'price sheet'!$A$3:$F$162,4,FALSE),VLOOKUP(A160,'price sheet'!$A$3:$F$162,3,FALSE))))</f>
        <v>#N/A</v>
      </c>
      <c r="G160" s="5"/>
      <c r="H160" s="40" t="e">
        <f t="shared" si="36"/>
        <v>#N/A</v>
      </c>
      <c r="I160" s="123"/>
      <c r="L160" s="19">
        <f t="shared" si="37"/>
        <v>0</v>
      </c>
      <c r="M160" s="19">
        <f t="shared" si="38"/>
        <v>0</v>
      </c>
      <c r="N160" s="19">
        <f t="shared" si="39"/>
        <v>0</v>
      </c>
      <c r="O160" s="117">
        <f t="shared" si="40"/>
        <v>0</v>
      </c>
      <c r="P160" s="19"/>
    </row>
    <row r="161" spans="1:16" s="41" customFormat="1">
      <c r="A161" s="35" t="s">
        <v>293</v>
      </c>
      <c r="B161" s="36"/>
      <c r="C161" s="37" t="s">
        <v>201</v>
      </c>
      <c r="D161" s="37"/>
      <c r="E161" s="38"/>
      <c r="F161" s="39" t="e">
        <f>IF($H$9="fld",VLOOKUP(A161,'price sheet'!$A$3:$F$162,2,FALSE),IF($H$9="ret",VLOOKUP(A161,'price sheet'!$A$3:$F$162,3,FALSE),IF($H$9="afl",VLOOKUP(A161,'price sheet'!$A$3:$F$162,4,FALSE),VLOOKUP(A161,'price sheet'!$A$3:$F$162,3,FALSE))))</f>
        <v>#N/A</v>
      </c>
      <c r="G161" s="5"/>
      <c r="H161" s="40" t="e">
        <f t="shared" si="36"/>
        <v>#N/A</v>
      </c>
      <c r="I161" s="123"/>
      <c r="L161" s="19">
        <f t="shared" si="37"/>
        <v>0</v>
      </c>
      <c r="M161" s="19">
        <f t="shared" si="38"/>
        <v>0</v>
      </c>
      <c r="N161" s="19">
        <f t="shared" si="39"/>
        <v>0</v>
      </c>
      <c r="O161" s="117">
        <f t="shared" si="40"/>
        <v>0</v>
      </c>
      <c r="P161" s="19"/>
    </row>
    <row r="162" spans="1:16" s="41" customFormat="1">
      <c r="A162" s="35" t="s">
        <v>294</v>
      </c>
      <c r="B162" s="36"/>
      <c r="C162" s="37" t="s">
        <v>202</v>
      </c>
      <c r="D162" s="37"/>
      <c r="E162" s="38"/>
      <c r="F162" s="39" t="e">
        <f>IF($H$9="fld",VLOOKUP(A162,'price sheet'!$A$3:$F$162,2,FALSE),IF($H$9="ret",VLOOKUP(A162,'price sheet'!$A$3:$F$162,3,FALSE),IF($H$9="afl",VLOOKUP(A162,'price sheet'!$A$3:$F$162,4,FALSE),VLOOKUP(A162,'price sheet'!$A$3:$F$162,3,FALSE))))</f>
        <v>#N/A</v>
      </c>
      <c r="G162" s="5"/>
      <c r="H162" s="40" t="e">
        <f t="shared" si="36"/>
        <v>#N/A</v>
      </c>
      <c r="I162" s="123"/>
      <c r="L162" s="19">
        <f t="shared" si="37"/>
        <v>0</v>
      </c>
      <c r="M162" s="19">
        <f t="shared" si="38"/>
        <v>0</v>
      </c>
      <c r="N162" s="19">
        <f t="shared" si="39"/>
        <v>0</v>
      </c>
      <c r="O162" s="117">
        <f t="shared" si="40"/>
        <v>0</v>
      </c>
      <c r="P162" s="19"/>
    </row>
    <row r="163" spans="1:16" s="41" customFormat="1">
      <c r="A163" s="35" t="s">
        <v>205</v>
      </c>
      <c r="B163" s="36" t="s">
        <v>206</v>
      </c>
      <c r="C163" s="37"/>
      <c r="D163" s="37"/>
      <c r="E163" s="38"/>
      <c r="F163" s="39" t="e">
        <f>IF($H$9="fld",VLOOKUP(A163,'price sheet'!$A$3:$F$162,2,FALSE),IF($H$9="ret",VLOOKUP(A163,'price sheet'!$A$3:$F$162,3,FALSE),IF($H$9="afl",VLOOKUP(A163,'price sheet'!$A$3:$F$162,4,FALSE),VLOOKUP(A163,'price sheet'!$A$3:$F$162,3,FALSE))))</f>
        <v>#N/A</v>
      </c>
      <c r="G163" s="5"/>
      <c r="H163" s="40" t="e">
        <f t="shared" si="36"/>
        <v>#N/A</v>
      </c>
      <c r="I163" s="123"/>
      <c r="L163" s="19">
        <f t="shared" si="37"/>
        <v>0</v>
      </c>
      <c r="M163" s="19">
        <f t="shared" si="38"/>
        <v>0</v>
      </c>
      <c r="N163" s="19">
        <f t="shared" si="39"/>
        <v>0</v>
      </c>
      <c r="O163" s="117">
        <f t="shared" si="40"/>
        <v>0</v>
      </c>
      <c r="P163" s="19"/>
    </row>
    <row r="164" spans="1:16" s="41" customFormat="1">
      <c r="A164" s="35" t="s">
        <v>295</v>
      </c>
      <c r="B164" s="36"/>
      <c r="C164" s="37" t="s">
        <v>207</v>
      </c>
      <c r="D164" s="37"/>
      <c r="E164" s="38"/>
      <c r="F164" s="39" t="e">
        <f>IF($H$9="fld",VLOOKUP(A164,'price sheet'!$A$3:$F$162,2,FALSE),IF($H$9="ret",VLOOKUP(A164,'price sheet'!$A$3:$F$162,3,FALSE),IF($H$9="afl",VLOOKUP(A164,'price sheet'!$A$3:$F$162,4,FALSE),VLOOKUP(A164,'price sheet'!$A$3:$F$162,3,FALSE))))</f>
        <v>#N/A</v>
      </c>
      <c r="G164" s="5"/>
      <c r="H164" s="40" t="e">
        <f t="shared" si="36"/>
        <v>#N/A</v>
      </c>
      <c r="I164" s="123"/>
      <c r="L164" s="19">
        <f t="shared" si="37"/>
        <v>0</v>
      </c>
      <c r="M164" s="19">
        <f t="shared" si="38"/>
        <v>0</v>
      </c>
      <c r="N164" s="19">
        <f t="shared" si="39"/>
        <v>0</v>
      </c>
      <c r="O164" s="117">
        <f t="shared" si="40"/>
        <v>0</v>
      </c>
      <c r="P164" s="19"/>
    </row>
    <row r="165" spans="1:16" s="41" customFormat="1">
      <c r="A165" s="35" t="s">
        <v>296</v>
      </c>
      <c r="B165" s="36"/>
      <c r="C165" s="37" t="s">
        <v>200</v>
      </c>
      <c r="D165" s="37"/>
      <c r="E165" s="38"/>
      <c r="F165" s="39" t="e">
        <f>IF($H$9="fld",VLOOKUP(A165,'price sheet'!$A$3:$F$162,2,FALSE),IF($H$9="ret",VLOOKUP(A165,'price sheet'!$A$3:$F$162,3,FALSE),IF($H$9="afl",VLOOKUP(A165,'price sheet'!$A$3:$F$162,4,FALSE),VLOOKUP(A165,'price sheet'!$A$3:$F$162,3,FALSE))))</f>
        <v>#N/A</v>
      </c>
      <c r="G165" s="5"/>
      <c r="H165" s="40" t="e">
        <f t="shared" si="36"/>
        <v>#N/A</v>
      </c>
      <c r="I165" s="123"/>
      <c r="L165" s="19">
        <f t="shared" si="37"/>
        <v>0</v>
      </c>
      <c r="M165" s="19">
        <f t="shared" si="38"/>
        <v>0</v>
      </c>
      <c r="N165" s="19">
        <f t="shared" si="39"/>
        <v>0</v>
      </c>
      <c r="O165" s="117">
        <f t="shared" si="40"/>
        <v>0</v>
      </c>
      <c r="P165" s="19"/>
    </row>
    <row r="166" spans="1:16" s="41" customFormat="1">
      <c r="A166" s="35" t="s">
        <v>297</v>
      </c>
      <c r="B166" s="36"/>
      <c r="C166" s="37" t="s">
        <v>201</v>
      </c>
      <c r="D166" s="37"/>
      <c r="E166" s="38"/>
      <c r="F166" s="39" t="e">
        <f>IF($H$9="fld",VLOOKUP(A166,'price sheet'!$A$3:$F$162,2,FALSE),IF($H$9="ret",VLOOKUP(A166,'price sheet'!$A$3:$F$162,3,FALSE),IF($H$9="afl",VLOOKUP(A166,'price sheet'!$A$3:$F$162,4,FALSE),VLOOKUP(A166,'price sheet'!$A$3:$F$162,3,FALSE))))</f>
        <v>#N/A</v>
      </c>
      <c r="G166" s="5"/>
      <c r="H166" s="40" t="e">
        <f t="shared" si="36"/>
        <v>#N/A</v>
      </c>
      <c r="I166" s="123"/>
      <c r="L166" s="19">
        <f t="shared" si="37"/>
        <v>0</v>
      </c>
      <c r="M166" s="19">
        <f t="shared" si="38"/>
        <v>0</v>
      </c>
      <c r="N166" s="19">
        <f t="shared" si="39"/>
        <v>0</v>
      </c>
      <c r="O166" s="117">
        <f t="shared" si="40"/>
        <v>0</v>
      </c>
      <c r="P166" s="19"/>
    </row>
    <row r="167" spans="1:16" s="41" customFormat="1">
      <c r="A167" s="35" t="s">
        <v>298</v>
      </c>
      <c r="B167" s="36"/>
      <c r="C167" s="37" t="s">
        <v>202</v>
      </c>
      <c r="D167" s="37"/>
      <c r="E167" s="38"/>
      <c r="F167" s="39" t="e">
        <f>IF($H$9="fld",VLOOKUP(A167,'price sheet'!$A$3:$F$162,2,FALSE),IF($H$9="ret",VLOOKUP(A167,'price sheet'!$A$3:$F$162,3,FALSE),IF($H$9="afl",VLOOKUP(A167,'price sheet'!$A$3:$F$162,4,FALSE),VLOOKUP(A167,'price sheet'!$A$3:$F$162,3,FALSE))))</f>
        <v>#N/A</v>
      </c>
      <c r="G167" s="5"/>
      <c r="H167" s="40" t="e">
        <f t="shared" si="36"/>
        <v>#N/A</v>
      </c>
      <c r="I167" s="123"/>
      <c r="L167" s="19">
        <f t="shared" si="37"/>
        <v>0</v>
      </c>
      <c r="M167" s="19">
        <f t="shared" si="38"/>
        <v>0</v>
      </c>
      <c r="N167" s="19">
        <f t="shared" si="39"/>
        <v>0</v>
      </c>
      <c r="O167" s="117">
        <f t="shared" si="40"/>
        <v>0</v>
      </c>
      <c r="P167" s="19"/>
    </row>
    <row r="168" spans="1:16" s="41" customFormat="1">
      <c r="A168" s="35" t="s">
        <v>208</v>
      </c>
      <c r="B168" s="36" t="s">
        <v>209</v>
      </c>
      <c r="C168" s="37"/>
      <c r="D168" s="37"/>
      <c r="E168" s="38"/>
      <c r="F168" s="39">
        <f>IF($H$9="fld",VLOOKUP(A168,'price sheet'!$A$3:$F$162,2,FALSE),IF($H$9="ret",VLOOKUP(A168,'price sheet'!$A$3:$F$162,3,FALSE),IF($H$9="afl",VLOOKUP(A168,'price sheet'!$A$3:$F$162,4,FALSE),VLOOKUP(A168,'price sheet'!$A$3:$F$162,3,FALSE))))</f>
        <v>0.08</v>
      </c>
      <c r="G168" s="5"/>
      <c r="H168" s="40">
        <f t="shared" si="36"/>
        <v>0</v>
      </c>
      <c r="I168" s="123"/>
      <c r="L168" s="19">
        <f t="shared" si="37"/>
        <v>0</v>
      </c>
      <c r="M168" s="19">
        <f t="shared" si="38"/>
        <v>0</v>
      </c>
      <c r="N168" s="19">
        <f t="shared" si="39"/>
        <v>0</v>
      </c>
      <c r="O168" s="117">
        <f t="shared" si="40"/>
        <v>0</v>
      </c>
      <c r="P168" s="19"/>
    </row>
    <row r="169" spans="1:16" s="41" customFormat="1">
      <c r="A169" s="35" t="s">
        <v>299</v>
      </c>
      <c r="B169" s="36"/>
      <c r="C169" s="37" t="s">
        <v>207</v>
      </c>
      <c r="D169" s="37"/>
      <c r="E169" s="38"/>
      <c r="F169" s="39" t="e">
        <f>IF($H$9="fld",VLOOKUP(A169,'price sheet'!$A$3:$F$162,2,FALSE),IF($H$9="ret",VLOOKUP(A169,'price sheet'!$A$3:$F$162,3,FALSE),IF($H$9="afl",VLOOKUP(A169,'price sheet'!$A$3:$F$162,4,FALSE),VLOOKUP(A169,'price sheet'!$A$3:$F$162,3,FALSE))))</f>
        <v>#N/A</v>
      </c>
      <c r="G169" s="5"/>
      <c r="H169" s="40" t="e">
        <f t="shared" si="36"/>
        <v>#N/A</v>
      </c>
      <c r="I169" s="123"/>
      <c r="L169" s="19">
        <f t="shared" si="37"/>
        <v>0</v>
      </c>
      <c r="M169" s="19">
        <f t="shared" si="38"/>
        <v>0</v>
      </c>
      <c r="N169" s="19">
        <f t="shared" si="39"/>
        <v>0</v>
      </c>
      <c r="O169" s="117">
        <f t="shared" si="40"/>
        <v>0</v>
      </c>
      <c r="P169" s="19"/>
    </row>
    <row r="170" spans="1:16" s="41" customFormat="1">
      <c r="A170" s="35" t="s">
        <v>300</v>
      </c>
      <c r="B170" s="36"/>
      <c r="C170" s="37" t="s">
        <v>200</v>
      </c>
      <c r="D170" s="37"/>
      <c r="E170" s="38"/>
      <c r="F170" s="39" t="e">
        <f>IF($H$9="fld",VLOOKUP(A170,'price sheet'!$A$3:$F$162,2,FALSE),IF($H$9="ret",VLOOKUP(A170,'price sheet'!$A$3:$F$162,3,FALSE),IF($H$9="afl",VLOOKUP(A170,'price sheet'!$A$3:$F$162,4,FALSE),VLOOKUP(A170,'price sheet'!$A$3:$F$162,3,FALSE))))</f>
        <v>#N/A</v>
      </c>
      <c r="G170" s="5"/>
      <c r="H170" s="40" t="e">
        <f t="shared" si="36"/>
        <v>#N/A</v>
      </c>
      <c r="I170" s="123"/>
      <c r="L170" s="19">
        <f t="shared" si="37"/>
        <v>0</v>
      </c>
      <c r="M170" s="19">
        <f t="shared" si="38"/>
        <v>0</v>
      </c>
      <c r="N170" s="19">
        <f t="shared" si="39"/>
        <v>0</v>
      </c>
      <c r="O170" s="117">
        <f t="shared" si="40"/>
        <v>0</v>
      </c>
      <c r="P170" s="19"/>
    </row>
    <row r="171" spans="1:16" s="41" customFormat="1">
      <c r="A171" s="35" t="s">
        <v>301</v>
      </c>
      <c r="B171" s="36"/>
      <c r="C171" s="37" t="s">
        <v>201</v>
      </c>
      <c r="D171" s="37"/>
      <c r="E171" s="38"/>
      <c r="F171" s="39" t="e">
        <f>IF($H$9="fld",VLOOKUP(A171,'price sheet'!$A$3:$F$162,2,FALSE),IF($H$9="ret",VLOOKUP(A171,'price sheet'!$A$3:$F$162,3,FALSE),IF($H$9="afl",VLOOKUP(A171,'price sheet'!$A$3:$F$162,4,FALSE),VLOOKUP(A171,'price sheet'!$A$3:$F$162,3,FALSE))))</f>
        <v>#N/A</v>
      </c>
      <c r="G171" s="5"/>
      <c r="H171" s="40" t="e">
        <f t="shared" si="36"/>
        <v>#N/A</v>
      </c>
      <c r="I171" s="123"/>
      <c r="L171" s="19">
        <f t="shared" si="37"/>
        <v>0</v>
      </c>
      <c r="M171" s="19">
        <f t="shared" si="38"/>
        <v>0</v>
      </c>
      <c r="N171" s="19">
        <f t="shared" si="39"/>
        <v>0</v>
      </c>
      <c r="O171" s="117">
        <f t="shared" si="40"/>
        <v>0</v>
      </c>
      <c r="P171" s="19"/>
    </row>
    <row r="172" spans="1:16" s="41" customFormat="1">
      <c r="A172" s="35" t="s">
        <v>302</v>
      </c>
      <c r="B172" s="36"/>
      <c r="C172" s="37" t="s">
        <v>202</v>
      </c>
      <c r="D172" s="37"/>
      <c r="E172" s="38"/>
      <c r="F172" s="39" t="e">
        <f>IF($H$9="fld",VLOOKUP(A172,'price sheet'!$A$3:$F$162,2,FALSE),IF($H$9="ret",VLOOKUP(A172,'price sheet'!$A$3:$F$162,3,FALSE),IF($H$9="afl",VLOOKUP(A172,'price sheet'!$A$3:$F$162,4,FALSE),VLOOKUP(A172,'price sheet'!$A$3:$F$162,3,FALSE))))</f>
        <v>#N/A</v>
      </c>
      <c r="G172" s="5"/>
      <c r="H172" s="40" t="e">
        <f t="shared" si="36"/>
        <v>#N/A</v>
      </c>
      <c r="I172" s="123"/>
      <c r="L172" s="19">
        <f t="shared" si="37"/>
        <v>0</v>
      </c>
      <c r="M172" s="19">
        <f t="shared" si="38"/>
        <v>0</v>
      </c>
      <c r="N172" s="19">
        <f t="shared" si="39"/>
        <v>0</v>
      </c>
      <c r="O172" s="117">
        <f t="shared" si="40"/>
        <v>0</v>
      </c>
      <c r="P172" s="19"/>
    </row>
    <row r="173" spans="1:16" s="41" customFormat="1">
      <c r="A173" s="35" t="s">
        <v>210</v>
      </c>
      <c r="B173" s="36" t="s">
        <v>211</v>
      </c>
      <c r="C173" s="37"/>
      <c r="D173" s="37"/>
      <c r="E173" s="38"/>
      <c r="F173" s="39" t="e">
        <f>IF($H$9="fld",VLOOKUP(A173,'price sheet'!$A$3:$F$162,2,FALSE),IF($H$9="ret",VLOOKUP(A173,'price sheet'!$A$3:$F$162,3,FALSE),IF($H$9="afl",VLOOKUP(A173,'price sheet'!$A$3:$F$162,4,FALSE),VLOOKUP(A173,'price sheet'!$A$3:$F$162,3,FALSE))))</f>
        <v>#N/A</v>
      </c>
      <c r="G173" s="5"/>
      <c r="H173" s="40" t="e">
        <f>F173*G173</f>
        <v>#N/A</v>
      </c>
      <c r="I173" s="123"/>
      <c r="L173" s="19">
        <f t="shared" si="37"/>
        <v>0</v>
      </c>
      <c r="M173" s="19">
        <f t="shared" si="38"/>
        <v>0</v>
      </c>
      <c r="N173" s="19">
        <f t="shared" si="39"/>
        <v>0</v>
      </c>
      <c r="O173" s="117">
        <f t="shared" si="40"/>
        <v>0</v>
      </c>
      <c r="P173" s="19"/>
    </row>
    <row r="174" spans="1:16" s="41" customFormat="1">
      <c r="A174" s="35" t="s">
        <v>303</v>
      </c>
      <c r="B174" s="36"/>
      <c r="C174" s="37" t="s">
        <v>207</v>
      </c>
      <c r="D174" s="37"/>
      <c r="E174" s="38"/>
      <c r="F174" s="39" t="e">
        <f>IF($H$9="fld",VLOOKUP(A174,'price sheet'!$A$3:$F$162,2,FALSE),IF($H$9="ret",VLOOKUP(A174,'price sheet'!$A$3:$F$162,3,FALSE),IF($H$9="afl",VLOOKUP(A174,'price sheet'!$A$3:$F$162,4,FALSE),VLOOKUP(A174,'price sheet'!$A$3:$F$162,3,FALSE))))</f>
        <v>#N/A</v>
      </c>
      <c r="G174" s="5"/>
      <c r="H174" s="40" t="e">
        <f t="shared" si="36"/>
        <v>#N/A</v>
      </c>
      <c r="I174" s="123"/>
      <c r="L174" s="19">
        <f t="shared" si="37"/>
        <v>0</v>
      </c>
      <c r="M174" s="19">
        <f t="shared" si="38"/>
        <v>0</v>
      </c>
      <c r="N174" s="19">
        <f t="shared" si="39"/>
        <v>0</v>
      </c>
      <c r="O174" s="117">
        <f t="shared" si="40"/>
        <v>0</v>
      </c>
      <c r="P174" s="19"/>
    </row>
    <row r="175" spans="1:16" s="41" customFormat="1">
      <c r="A175" s="35" t="s">
        <v>304</v>
      </c>
      <c r="B175" s="36"/>
      <c r="C175" s="37" t="s">
        <v>200</v>
      </c>
      <c r="D175" s="37"/>
      <c r="E175" s="38"/>
      <c r="F175" s="39" t="e">
        <f>IF($H$9="fld",VLOOKUP(A175,'price sheet'!$A$3:$F$162,2,FALSE),IF($H$9="ret",VLOOKUP(A175,'price sheet'!$A$3:$F$162,3,FALSE),IF($H$9="afl",VLOOKUP(A175,'price sheet'!$A$3:$F$162,4,FALSE),VLOOKUP(A175,'price sheet'!$A$3:$F$162,3,FALSE))))</f>
        <v>#N/A</v>
      </c>
      <c r="G175" s="5"/>
      <c r="H175" s="40" t="e">
        <f t="shared" si="36"/>
        <v>#N/A</v>
      </c>
      <c r="I175" s="123"/>
      <c r="L175" s="19">
        <f t="shared" si="37"/>
        <v>0</v>
      </c>
      <c r="M175" s="19">
        <f t="shared" si="38"/>
        <v>0</v>
      </c>
      <c r="N175" s="19">
        <f t="shared" si="39"/>
        <v>0</v>
      </c>
      <c r="O175" s="117">
        <f t="shared" si="40"/>
        <v>0</v>
      </c>
      <c r="P175" s="19"/>
    </row>
    <row r="176" spans="1:16" s="41" customFormat="1">
      <c r="A176" s="35" t="s">
        <v>305</v>
      </c>
      <c r="B176" s="36"/>
      <c r="C176" s="37" t="s">
        <v>201</v>
      </c>
      <c r="D176" s="37"/>
      <c r="E176" s="38"/>
      <c r="F176" s="39" t="e">
        <f>IF($H$9="fld",VLOOKUP(A176,'price sheet'!$A$3:$F$162,2,FALSE),IF($H$9="ret",VLOOKUP(A176,'price sheet'!$A$3:$F$162,3,FALSE),IF($H$9="afl",VLOOKUP(A176,'price sheet'!$A$3:$F$162,4,FALSE),VLOOKUP(A176,'price sheet'!$A$3:$F$162,3,FALSE))))</f>
        <v>#N/A</v>
      </c>
      <c r="G176" s="5"/>
      <c r="H176" s="40" t="e">
        <f t="shared" si="36"/>
        <v>#N/A</v>
      </c>
      <c r="I176" s="123"/>
      <c r="L176" s="19">
        <f t="shared" si="37"/>
        <v>0</v>
      </c>
      <c r="M176" s="19">
        <f t="shared" si="38"/>
        <v>0</v>
      </c>
      <c r="N176" s="19">
        <f t="shared" si="39"/>
        <v>0</v>
      </c>
      <c r="O176" s="117">
        <f t="shared" si="40"/>
        <v>0</v>
      </c>
      <c r="P176" s="19"/>
    </row>
    <row r="177" spans="1:16" s="41" customFormat="1">
      <c r="A177" s="35" t="s">
        <v>306</v>
      </c>
      <c r="B177" s="36"/>
      <c r="C177" s="37" t="s">
        <v>202</v>
      </c>
      <c r="D177" s="37"/>
      <c r="E177" s="38"/>
      <c r="F177" s="39" t="e">
        <f>IF($H$9="fld",VLOOKUP(A177,'price sheet'!$A$3:$F$162,2,FALSE),IF($H$9="ret",VLOOKUP(A177,'price sheet'!$A$3:$F$162,3,FALSE),IF($H$9="afl",VLOOKUP(A177,'price sheet'!$A$3:$F$162,4,FALSE),VLOOKUP(A177,'price sheet'!$A$3:$F$162,3,FALSE))))</f>
        <v>#N/A</v>
      </c>
      <c r="G177" s="5"/>
      <c r="H177" s="40" t="e">
        <f t="shared" si="36"/>
        <v>#N/A</v>
      </c>
      <c r="I177" s="123"/>
      <c r="L177" s="19">
        <f t="shared" si="37"/>
        <v>0</v>
      </c>
      <c r="M177" s="19">
        <f t="shared" si="38"/>
        <v>0</v>
      </c>
      <c r="N177" s="19">
        <f t="shared" si="39"/>
        <v>0</v>
      </c>
      <c r="O177" s="117">
        <f t="shared" si="40"/>
        <v>0</v>
      </c>
      <c r="P177" s="19"/>
    </row>
    <row r="178" spans="1:16" s="41" customFormat="1">
      <c r="A178" s="35" t="s">
        <v>212</v>
      </c>
      <c r="B178" s="36" t="s">
        <v>213</v>
      </c>
      <c r="C178" s="37"/>
      <c r="D178" s="37"/>
      <c r="E178" s="38"/>
      <c r="F178" s="39" t="e">
        <f>IF($H$9="fld",VLOOKUP(A178,'price sheet'!$A$3:$F$162,2,FALSE),IF($H$9="ret",VLOOKUP(A178,'price sheet'!$A$3:$F$162,3,FALSE),IF($H$9="afl",VLOOKUP(A178,'price sheet'!$A$3:$F$162,4,FALSE),VLOOKUP(A178,'price sheet'!$A$3:$F$162,3,FALSE))))</f>
        <v>#N/A</v>
      </c>
      <c r="G178" s="5"/>
      <c r="H178" s="40" t="e">
        <f t="shared" si="36"/>
        <v>#N/A</v>
      </c>
      <c r="I178" s="123"/>
      <c r="L178" s="19">
        <f t="shared" si="37"/>
        <v>0</v>
      </c>
      <c r="M178" s="19">
        <f t="shared" si="38"/>
        <v>0</v>
      </c>
      <c r="N178" s="19">
        <f t="shared" si="39"/>
        <v>0</v>
      </c>
      <c r="O178" s="117">
        <f t="shared" si="40"/>
        <v>0</v>
      </c>
      <c r="P178" s="19"/>
    </row>
    <row r="179" spans="1:16" s="41" customFormat="1">
      <c r="A179" s="35" t="s">
        <v>214</v>
      </c>
      <c r="B179" s="36" t="s">
        <v>215</v>
      </c>
      <c r="C179" s="37"/>
      <c r="D179" s="37"/>
      <c r="E179" s="38"/>
      <c r="F179" s="39" t="e">
        <f>IF($H$9="fld",VLOOKUP(A179,'price sheet'!$A$3:$F$162,2,FALSE),IF($H$9="ret",VLOOKUP(A179,'price sheet'!$A$3:$F$162,3,FALSE),IF($H$9="afl",VLOOKUP(A179,'price sheet'!$A$3:$F$162,4,FALSE),VLOOKUP(A179,'price sheet'!$A$3:$F$162,3,FALSE))))</f>
        <v>#N/A</v>
      </c>
      <c r="G179" s="5"/>
      <c r="H179" s="40" t="e">
        <f t="shared" si="36"/>
        <v>#N/A</v>
      </c>
      <c r="I179" s="123"/>
      <c r="L179" s="19">
        <f t="shared" si="37"/>
        <v>0</v>
      </c>
      <c r="M179" s="19">
        <f t="shared" si="38"/>
        <v>0</v>
      </c>
      <c r="N179" s="19">
        <f t="shared" si="39"/>
        <v>0</v>
      </c>
      <c r="O179" s="117">
        <f t="shared" si="40"/>
        <v>0</v>
      </c>
      <c r="P179" s="19"/>
    </row>
    <row r="180" spans="1:16" s="41" customFormat="1">
      <c r="A180" s="35" t="s">
        <v>307</v>
      </c>
      <c r="B180" s="139" t="s">
        <v>211</v>
      </c>
      <c r="C180" s="37"/>
      <c r="D180" s="37"/>
      <c r="E180" s="38"/>
      <c r="F180" s="39" t="e">
        <f>IF($H$9="fld",VLOOKUP(A180,'price sheet'!$A$3:$F$162,2,FALSE),IF($H$9="ret",VLOOKUP(A180,'price sheet'!$A$3:$F$162,3,FALSE),IF($H$9="afl",VLOOKUP(A180,'price sheet'!$A$3:$F$162,4,FALSE),VLOOKUP(A180,'price sheet'!$A$3:$F$162,3,FALSE))))</f>
        <v>#N/A</v>
      </c>
      <c r="G180" s="5"/>
      <c r="H180" s="40" t="e">
        <f t="shared" si="36"/>
        <v>#N/A</v>
      </c>
      <c r="I180" s="123"/>
      <c r="L180" s="19">
        <f t="shared" si="37"/>
        <v>0</v>
      </c>
      <c r="M180" s="19">
        <f t="shared" si="38"/>
        <v>0</v>
      </c>
      <c r="N180" s="19">
        <f t="shared" si="39"/>
        <v>0</v>
      </c>
      <c r="O180" s="117">
        <f t="shared" si="40"/>
        <v>0</v>
      </c>
      <c r="P180" s="19"/>
    </row>
    <row r="181" spans="1:16" s="41" customFormat="1">
      <c r="A181" s="35" t="s">
        <v>308</v>
      </c>
      <c r="B181" s="139" t="s">
        <v>209</v>
      </c>
      <c r="C181" s="37"/>
      <c r="D181" s="37"/>
      <c r="E181" s="38"/>
      <c r="F181" s="39" t="e">
        <f>IF($H$9="fld",VLOOKUP(A181,'price sheet'!$A$3:$F$162,2,FALSE),IF($H$9="ret",VLOOKUP(A181,'price sheet'!$A$3:$F$162,3,FALSE),IF($H$9="afl",VLOOKUP(A181,'price sheet'!$A$3:$F$162,4,FALSE),VLOOKUP(A181,'price sheet'!$A$3:$F$162,3,FALSE))))</f>
        <v>#N/A</v>
      </c>
      <c r="G181" s="5"/>
      <c r="H181" s="40" t="e">
        <f t="shared" si="36"/>
        <v>#N/A</v>
      </c>
      <c r="I181" s="123"/>
      <c r="L181" s="19">
        <f t="shared" si="37"/>
        <v>0</v>
      </c>
      <c r="M181" s="19">
        <f t="shared" si="38"/>
        <v>0</v>
      </c>
      <c r="N181" s="19">
        <f t="shared" si="39"/>
        <v>0</v>
      </c>
      <c r="O181" s="117">
        <f t="shared" si="40"/>
        <v>0</v>
      </c>
      <c r="P181" s="19"/>
    </row>
    <row r="182" spans="1:16" s="41" customFormat="1">
      <c r="A182" s="35" t="s">
        <v>357</v>
      </c>
      <c r="B182" s="36" t="s">
        <v>358</v>
      </c>
      <c r="C182" s="37"/>
      <c r="D182" s="37"/>
      <c r="E182" s="38"/>
      <c r="F182" s="39" t="e">
        <f>IF($H$9="fld",VLOOKUP(A182,'price sheet'!$A$3:$F$162,2,FALSE),IF($H$9="ret",VLOOKUP(A182,'price sheet'!$A$3:$F$162,3,FALSE),IF($H$9="afl",VLOOKUP(A182,'price sheet'!$A$3:$F$162,4,FALSE),VLOOKUP(A182,'price sheet'!$A$3:$F$162,3,FALSE))))</f>
        <v>#N/A</v>
      </c>
      <c r="G182" s="5"/>
      <c r="H182" s="40" t="e">
        <f t="shared" si="36"/>
        <v>#N/A</v>
      </c>
      <c r="I182" s="123"/>
      <c r="L182" s="19"/>
      <c r="M182" s="19"/>
      <c r="N182" s="19"/>
      <c r="O182" s="117"/>
      <c r="P182" s="19"/>
    </row>
    <row r="183" spans="1:16" s="41" customFormat="1">
      <c r="A183" s="35" t="s">
        <v>216</v>
      </c>
      <c r="B183" s="36" t="s">
        <v>217</v>
      </c>
      <c r="C183" s="37"/>
      <c r="D183" s="37"/>
      <c r="E183" s="38"/>
      <c r="F183" s="39">
        <f>IF($H$9="fld",VLOOKUP(A183,'price sheet'!$A$3:$F$162,2,FALSE),IF($H$9="ret",VLOOKUP(A183,'price sheet'!$A$3:$F$162,3,FALSE),IF($H$9="afl",VLOOKUP(A183,'price sheet'!$A$3:$F$162,4,FALSE),VLOOKUP(A183,'price sheet'!$A$3:$F$162,3,FALSE))))</f>
        <v>6</v>
      </c>
      <c r="G183" s="5"/>
      <c r="H183" s="40">
        <f t="shared" si="36"/>
        <v>0</v>
      </c>
      <c r="I183" s="123"/>
      <c r="L183" s="19">
        <f t="shared" si="37"/>
        <v>0</v>
      </c>
      <c r="M183" s="19">
        <f t="shared" si="38"/>
        <v>0</v>
      </c>
      <c r="N183" s="19">
        <f t="shared" si="39"/>
        <v>0</v>
      </c>
      <c r="O183" s="117">
        <f t="shared" ref="O183:O195" si="41">IF($H$9="fld",IF(I183&gt;0,H183*$G$205,0),SUM(L183:N183))</f>
        <v>0</v>
      </c>
      <c r="P183" s="19"/>
    </row>
    <row r="184" spans="1:16" s="41" customFormat="1">
      <c r="A184" s="35" t="s">
        <v>218</v>
      </c>
      <c r="B184" s="36" t="s">
        <v>219</v>
      </c>
      <c r="C184" s="37"/>
      <c r="D184" s="37"/>
      <c r="E184" s="38"/>
      <c r="F184" s="39" t="e">
        <f>IF($H$9="fld",VLOOKUP(A184,'price sheet'!$A$3:$F$162,2,FALSE),IF($H$9="ret",VLOOKUP(A184,'price sheet'!$A$3:$F$162,3,FALSE),IF($H$9="afl",VLOOKUP(A184,'price sheet'!$A$3:$F$162,4,FALSE),VLOOKUP(A184,'price sheet'!$A$3:$F$162,3,FALSE))))</f>
        <v>#N/A</v>
      </c>
      <c r="G184" s="5"/>
      <c r="H184" s="40" t="e">
        <f>IF($H$9="afF","N/A",IF($H$9="ret","N/A",F184*G184))</f>
        <v>#N/A</v>
      </c>
      <c r="I184" s="123"/>
      <c r="L184" s="19">
        <f>IF($H$9="ret",0,0)</f>
        <v>0</v>
      </c>
      <c r="M184" s="19">
        <f>IF($H$9="ret",0,0)</f>
        <v>0</v>
      </c>
      <c r="N184" s="19">
        <f>IF($H$9="ret",0,0)</f>
        <v>0</v>
      </c>
      <c r="O184" s="117">
        <f t="shared" si="41"/>
        <v>0</v>
      </c>
      <c r="P184" s="19"/>
    </row>
    <row r="185" spans="1:16" s="41" customFormat="1">
      <c r="A185" s="35" t="s">
        <v>220</v>
      </c>
      <c r="B185" s="36" t="s">
        <v>221</v>
      </c>
      <c r="C185" s="37"/>
      <c r="D185" s="37"/>
      <c r="E185" s="38"/>
      <c r="F185" s="39" t="e">
        <f>IF($H$9="fld",VLOOKUP(A185,'price sheet'!$A$3:$F$162,2,FALSE),IF($H$9="ret",VLOOKUP(A185,'price sheet'!$A$3:$F$162,3,FALSE),IF($H$9="afl",VLOOKUP(A185,'price sheet'!$A$3:$F$162,4,FALSE),VLOOKUP(A185,'price sheet'!$A$3:$F$162,3,FALSE))))</f>
        <v>#N/A</v>
      </c>
      <c r="G185" s="5"/>
      <c r="H185" s="40" t="e">
        <f t="shared" si="36"/>
        <v>#N/A</v>
      </c>
      <c r="I185" s="123"/>
      <c r="L185" s="19">
        <f t="shared" si="37"/>
        <v>0</v>
      </c>
      <c r="M185" s="19">
        <f t="shared" si="38"/>
        <v>0</v>
      </c>
      <c r="N185" s="19">
        <f t="shared" si="39"/>
        <v>0</v>
      </c>
      <c r="O185" s="117">
        <f t="shared" si="41"/>
        <v>0</v>
      </c>
      <c r="P185" s="19"/>
    </row>
    <row r="186" spans="1:16" s="41" customFormat="1">
      <c r="A186" s="35" t="s">
        <v>227</v>
      </c>
      <c r="B186" s="36" t="s">
        <v>257</v>
      </c>
      <c r="C186" s="37"/>
      <c r="D186" s="37"/>
      <c r="E186" s="38"/>
      <c r="F186" s="39" t="e">
        <f>IF($H$9="fld",VLOOKUP(A186,'price sheet'!$A$3:$F$162,2,FALSE),IF($H$9="ret",VLOOKUP(A186,'price sheet'!$A$3:$F$162,3,FALSE),IF($H$9="afl",VLOOKUP(A186,'price sheet'!$A$3:$F$162,4,FALSE),VLOOKUP(A186,'price sheet'!$A$3:$F$162,3,FALSE))))</f>
        <v>#N/A</v>
      </c>
      <c r="G186" s="5"/>
      <c r="H186" s="40" t="e">
        <f t="shared" si="36"/>
        <v>#N/A</v>
      </c>
      <c r="I186" s="123"/>
      <c r="L186" s="19">
        <f t="shared" si="37"/>
        <v>0</v>
      </c>
      <c r="M186" s="19">
        <f t="shared" si="38"/>
        <v>0</v>
      </c>
      <c r="N186" s="19">
        <f t="shared" si="39"/>
        <v>0</v>
      </c>
      <c r="O186" s="117">
        <f t="shared" si="41"/>
        <v>0</v>
      </c>
      <c r="P186" s="19"/>
    </row>
    <row r="187" spans="1:16" s="41" customFormat="1">
      <c r="A187" s="35" t="s">
        <v>309</v>
      </c>
      <c r="B187" s="36"/>
      <c r="C187" s="37" t="s">
        <v>207</v>
      </c>
      <c r="D187" s="37"/>
      <c r="E187" s="38"/>
      <c r="F187" s="39" t="e">
        <f>IF($H$9="fld",VLOOKUP(A187,'price sheet'!$A$3:$F$162,2,FALSE),IF($H$9="ret",VLOOKUP(A187,'price sheet'!$A$3:$F$162,3,FALSE),IF($H$9="afl",VLOOKUP(A187,'price sheet'!$A$3:$F$162,4,FALSE),VLOOKUP(A187,'price sheet'!$A$3:$F$162,3,FALSE))))</f>
        <v>#N/A</v>
      </c>
      <c r="G187" s="5"/>
      <c r="H187" s="40" t="e">
        <f t="shared" si="36"/>
        <v>#N/A</v>
      </c>
      <c r="I187" s="123"/>
      <c r="L187" s="19">
        <f t="shared" si="37"/>
        <v>0</v>
      </c>
      <c r="M187" s="19">
        <f t="shared" si="38"/>
        <v>0</v>
      </c>
      <c r="N187" s="19">
        <f t="shared" si="39"/>
        <v>0</v>
      </c>
      <c r="O187" s="117">
        <f t="shared" si="41"/>
        <v>0</v>
      </c>
      <c r="P187" s="19"/>
    </row>
    <row r="188" spans="1:16" s="41" customFormat="1">
      <c r="A188" s="35" t="s">
        <v>310</v>
      </c>
      <c r="B188" s="36"/>
      <c r="C188" s="37" t="s">
        <v>200</v>
      </c>
      <c r="D188" s="37"/>
      <c r="E188" s="38"/>
      <c r="F188" s="39" t="e">
        <f>IF($H$9="fld",VLOOKUP(A188,'price sheet'!$A$3:$F$162,2,FALSE),IF($H$9="ret",VLOOKUP(A188,'price sheet'!$A$3:$F$162,3,FALSE),IF($H$9="afl",VLOOKUP(A188,'price sheet'!$A$3:$F$162,4,FALSE),VLOOKUP(A188,'price sheet'!$A$3:$F$162,3,FALSE))))</f>
        <v>#N/A</v>
      </c>
      <c r="G188" s="5"/>
      <c r="H188" s="40" t="e">
        <f t="shared" si="36"/>
        <v>#N/A</v>
      </c>
      <c r="I188" s="123"/>
      <c r="L188" s="19">
        <f t="shared" si="37"/>
        <v>0</v>
      </c>
      <c r="M188" s="19">
        <f t="shared" si="38"/>
        <v>0</v>
      </c>
      <c r="N188" s="19">
        <f t="shared" si="39"/>
        <v>0</v>
      </c>
      <c r="O188" s="117">
        <f t="shared" si="41"/>
        <v>0</v>
      </c>
      <c r="P188" s="19"/>
    </row>
    <row r="189" spans="1:16" s="41" customFormat="1">
      <c r="A189" s="35" t="s">
        <v>311</v>
      </c>
      <c r="B189" s="36"/>
      <c r="C189" s="37" t="s">
        <v>201</v>
      </c>
      <c r="D189" s="37"/>
      <c r="E189" s="38"/>
      <c r="F189" s="39" t="e">
        <f>IF($H$9="fld",VLOOKUP(A189,'price sheet'!$A$3:$F$162,2,FALSE),IF($H$9="ret",VLOOKUP(A189,'price sheet'!$A$3:$F$162,3,FALSE),IF($H$9="afl",VLOOKUP(A189,'price sheet'!$A$3:$F$162,4,FALSE),VLOOKUP(A189,'price sheet'!$A$3:$F$162,3,FALSE))))</f>
        <v>#N/A</v>
      </c>
      <c r="G189" s="5"/>
      <c r="H189" s="40" t="e">
        <f t="shared" si="36"/>
        <v>#N/A</v>
      </c>
      <c r="I189" s="123"/>
      <c r="L189" s="19">
        <f t="shared" si="37"/>
        <v>0</v>
      </c>
      <c r="M189" s="19">
        <f t="shared" si="38"/>
        <v>0</v>
      </c>
      <c r="N189" s="19">
        <f t="shared" si="39"/>
        <v>0</v>
      </c>
      <c r="O189" s="117">
        <f t="shared" si="41"/>
        <v>0</v>
      </c>
      <c r="P189" s="19"/>
    </row>
    <row r="190" spans="1:16" s="41" customFormat="1">
      <c r="A190" s="35" t="s">
        <v>228</v>
      </c>
      <c r="B190" s="36" t="s">
        <v>258</v>
      </c>
      <c r="C190" s="37"/>
      <c r="D190" s="37"/>
      <c r="E190" s="38"/>
      <c r="F190" s="39">
        <f>IF($H$9="fld",VLOOKUP(A190,'price sheet'!$A$3:$F$162,2,FALSE),IF($H$9="ret",VLOOKUP(A190,'price sheet'!$A$3:$F$162,3,FALSE),IF($H$9="afl",VLOOKUP(A190,'price sheet'!$A$3:$F$162,4,FALSE),VLOOKUP(A190,'price sheet'!$A$3:$F$162,3,FALSE))))</f>
        <v>4.5599999999999996</v>
      </c>
      <c r="G190" s="5"/>
      <c r="H190" s="40">
        <f t="shared" si="36"/>
        <v>0</v>
      </c>
      <c r="I190" s="123"/>
      <c r="L190" s="19">
        <f t="shared" si="37"/>
        <v>0</v>
      </c>
      <c r="M190" s="19">
        <f t="shared" si="38"/>
        <v>0</v>
      </c>
      <c r="N190" s="19">
        <f t="shared" si="39"/>
        <v>0</v>
      </c>
      <c r="O190" s="117">
        <f t="shared" si="41"/>
        <v>0</v>
      </c>
      <c r="P190" s="19"/>
    </row>
    <row r="191" spans="1:16" s="41" customFormat="1">
      <c r="A191" s="35" t="s">
        <v>312</v>
      </c>
      <c r="B191" s="36"/>
      <c r="C191" s="37" t="s">
        <v>200</v>
      </c>
      <c r="D191" s="37"/>
      <c r="E191" s="38"/>
      <c r="F191" s="39" t="e">
        <f>IF($H$9="fld",VLOOKUP(A191,'price sheet'!$A$3:$F$162,2,FALSE),IF($H$9="ret",VLOOKUP(A191,'price sheet'!$A$3:$F$162,3,FALSE),IF($H$9="afl",VLOOKUP(A191,'price sheet'!$A$3:$F$162,4,FALSE),VLOOKUP(A191,'price sheet'!$A$3:$F$162,3,FALSE))))</f>
        <v>#N/A</v>
      </c>
      <c r="G191" s="5"/>
      <c r="H191" s="40" t="e">
        <f t="shared" si="36"/>
        <v>#N/A</v>
      </c>
      <c r="I191" s="123"/>
      <c r="L191" s="19">
        <f t="shared" si="37"/>
        <v>0</v>
      </c>
      <c r="M191" s="19">
        <f t="shared" si="38"/>
        <v>0</v>
      </c>
      <c r="N191" s="19">
        <f t="shared" si="39"/>
        <v>0</v>
      </c>
      <c r="O191" s="117">
        <f t="shared" si="41"/>
        <v>0</v>
      </c>
      <c r="P191" s="19"/>
    </row>
    <row r="192" spans="1:16" s="41" customFormat="1">
      <c r="A192" s="35" t="s">
        <v>313</v>
      </c>
      <c r="B192" s="36"/>
      <c r="C192" s="37" t="s">
        <v>201</v>
      </c>
      <c r="D192" s="37"/>
      <c r="E192" s="38"/>
      <c r="F192" s="39" t="e">
        <f>IF($H$9="fld",VLOOKUP(A192,'price sheet'!$A$3:$F$162,2,FALSE),IF($H$9="ret",VLOOKUP(A192,'price sheet'!$A$3:$F$162,3,FALSE),IF($H$9="afl",VLOOKUP(A192,'price sheet'!$A$3:$F$162,4,FALSE),VLOOKUP(A192,'price sheet'!$A$3:$F$162,3,FALSE))))</f>
        <v>#N/A</v>
      </c>
      <c r="G192" s="5"/>
      <c r="H192" s="40" t="e">
        <f t="shared" si="36"/>
        <v>#N/A</v>
      </c>
      <c r="I192" s="123"/>
      <c r="L192" s="19">
        <f t="shared" si="37"/>
        <v>0</v>
      </c>
      <c r="M192" s="19">
        <f t="shared" si="38"/>
        <v>0</v>
      </c>
      <c r="N192" s="19">
        <f t="shared" si="39"/>
        <v>0</v>
      </c>
      <c r="O192" s="117">
        <f t="shared" si="41"/>
        <v>0</v>
      </c>
      <c r="P192" s="19"/>
    </row>
    <row r="193" spans="1:16" s="41" customFormat="1">
      <c r="A193" s="35" t="s">
        <v>314</v>
      </c>
      <c r="B193" s="36"/>
      <c r="C193" s="37" t="s">
        <v>202</v>
      </c>
      <c r="D193" s="37"/>
      <c r="E193" s="38"/>
      <c r="F193" s="39" t="e">
        <f>IF($H$9="fld",VLOOKUP(A193,'price sheet'!$A$3:$F$162,2,FALSE),IF($H$9="ret",VLOOKUP(A193,'price sheet'!$A$3:$F$162,3,FALSE),IF($H$9="afl",VLOOKUP(A193,'price sheet'!$A$3:$F$162,4,FALSE),VLOOKUP(A193,'price sheet'!$A$3:$F$162,3,FALSE))))</f>
        <v>#N/A</v>
      </c>
      <c r="G193" s="5"/>
      <c r="H193" s="40" t="e">
        <f t="shared" si="36"/>
        <v>#N/A</v>
      </c>
      <c r="I193" s="123"/>
      <c r="L193" s="19">
        <f t="shared" si="37"/>
        <v>0</v>
      </c>
      <c r="M193" s="19">
        <f t="shared" si="38"/>
        <v>0</v>
      </c>
      <c r="N193" s="19">
        <f t="shared" si="39"/>
        <v>0</v>
      </c>
      <c r="O193" s="117">
        <f t="shared" si="41"/>
        <v>0</v>
      </c>
      <c r="P193" s="19"/>
    </row>
    <row r="194" spans="1:16" s="41" customFormat="1">
      <c r="A194" s="35" t="s">
        <v>270</v>
      </c>
      <c r="B194" s="36" t="s">
        <v>318</v>
      </c>
      <c r="C194" s="37"/>
      <c r="D194" s="37"/>
      <c r="E194" s="38"/>
      <c r="F194" s="39" t="e">
        <f>IF($H$9="fld",VLOOKUP(A194,'price sheet'!$A$3:$F$162,2,FALSE),IF($H$9="ret",VLOOKUP(A194,'price sheet'!$A$3:$F$162,3,FALSE),IF($H$9="afl",VLOOKUP(A194,'price sheet'!$A$3:$F$162,4,FALSE),VLOOKUP(A194,'price sheet'!$A$3:$F$162,3,FALSE))))</f>
        <v>#N/A</v>
      </c>
      <c r="G194" s="5"/>
      <c r="H194" s="40" t="e">
        <f t="shared" si="36"/>
        <v>#N/A</v>
      </c>
      <c r="I194" s="123"/>
      <c r="L194" s="19">
        <f t="shared" si="37"/>
        <v>0</v>
      </c>
      <c r="M194" s="19">
        <f t="shared" si="38"/>
        <v>0</v>
      </c>
      <c r="N194" s="19">
        <f t="shared" si="39"/>
        <v>0</v>
      </c>
      <c r="O194" s="117">
        <f t="shared" si="41"/>
        <v>0</v>
      </c>
      <c r="P194" s="19"/>
    </row>
    <row r="195" spans="1:16" s="41" customFormat="1">
      <c r="A195" s="35" t="s">
        <v>321</v>
      </c>
      <c r="B195" s="36" t="s">
        <v>322</v>
      </c>
      <c r="C195" s="135"/>
      <c r="D195" s="135"/>
      <c r="E195" s="136"/>
      <c r="F195" s="100">
        <v>0</v>
      </c>
      <c r="G195" s="5"/>
      <c r="H195" s="40">
        <f t="shared" si="36"/>
        <v>0</v>
      </c>
      <c r="I195" s="123"/>
      <c r="L195" s="19">
        <f t="shared" si="37"/>
        <v>0</v>
      </c>
      <c r="M195" s="19">
        <f t="shared" si="38"/>
        <v>0</v>
      </c>
      <c r="N195" s="19">
        <f t="shared" si="39"/>
        <v>0</v>
      </c>
      <c r="O195" s="117">
        <f t="shared" si="41"/>
        <v>0</v>
      </c>
      <c r="P195" s="19"/>
    </row>
    <row r="196" spans="1:16" s="41" customFormat="1">
      <c r="A196" s="145"/>
      <c r="B196" s="48"/>
      <c r="C196" s="43"/>
      <c r="D196" s="43"/>
      <c r="E196" s="103"/>
      <c r="F196" s="143"/>
      <c r="G196" s="44" t="s">
        <v>63</v>
      </c>
      <c r="H196" s="67" t="e">
        <f>SUM(H151:H195)</f>
        <v>#N/A</v>
      </c>
      <c r="I196" s="123"/>
      <c r="L196" s="19"/>
      <c r="O196" s="119">
        <f>SUM(O12:O195)</f>
        <v>0</v>
      </c>
    </row>
    <row r="197" spans="1:16" s="41" customFormat="1">
      <c r="A197" s="68"/>
      <c r="B197" s="69"/>
      <c r="C197" s="69"/>
      <c r="D197" s="69"/>
      <c r="E197" s="70"/>
      <c r="F197" s="71"/>
      <c r="G197" s="72" t="s">
        <v>226</v>
      </c>
      <c r="H197" s="73"/>
      <c r="I197" s="113"/>
      <c r="J197" s="9"/>
      <c r="K197" s="9"/>
      <c r="O197" s="119"/>
    </row>
    <row r="198" spans="1:16" s="41" customFormat="1">
      <c r="A198" s="16"/>
      <c r="B198" s="74"/>
      <c r="C198" s="74"/>
      <c r="D198" s="74"/>
      <c r="E198" s="75"/>
      <c r="F198" s="76"/>
      <c r="G198" s="77">
        <v>45251</v>
      </c>
      <c r="H198" s="78" t="e">
        <f>H92</f>
        <v>#N/A</v>
      </c>
      <c r="I198" s="113"/>
      <c r="J198" s="9"/>
      <c r="K198" s="9"/>
      <c r="O198" s="119"/>
    </row>
    <row r="199" spans="1:16" s="41" customFormat="1">
      <c r="A199" s="16"/>
      <c r="B199" s="74"/>
      <c r="C199" s="74"/>
      <c r="D199" s="74"/>
      <c r="E199" s="75"/>
      <c r="F199" s="76"/>
      <c r="G199" s="79">
        <v>45252</v>
      </c>
      <c r="H199" s="78">
        <f>H84</f>
        <v>0</v>
      </c>
      <c r="I199" s="113"/>
      <c r="J199" s="9"/>
      <c r="K199" s="9"/>
      <c r="O199" s="119"/>
    </row>
    <row r="200" spans="1:16" s="41" customFormat="1">
      <c r="A200" s="16"/>
      <c r="B200" s="74"/>
      <c r="C200" s="74"/>
      <c r="D200" s="74"/>
      <c r="E200" s="75"/>
      <c r="F200" s="76"/>
      <c r="G200" s="79">
        <v>45251</v>
      </c>
      <c r="H200" s="78">
        <f>H93</f>
        <v>0</v>
      </c>
      <c r="I200" s="113"/>
      <c r="J200" s="9"/>
      <c r="K200" s="9"/>
      <c r="O200" s="119"/>
    </row>
    <row r="201" spans="1:16" s="41" customFormat="1">
      <c r="A201" s="16"/>
      <c r="B201" s="74"/>
      <c r="C201" s="74"/>
      <c r="D201" s="74"/>
      <c r="E201" s="75"/>
      <c r="F201" s="76"/>
      <c r="G201" s="79">
        <v>43120</v>
      </c>
      <c r="H201" s="78" t="e">
        <f>H52</f>
        <v>#N/A</v>
      </c>
      <c r="I201" s="113"/>
      <c r="J201" s="9"/>
      <c r="K201" s="9"/>
      <c r="O201" s="119"/>
    </row>
    <row r="202" spans="1:16" s="41" customFormat="1">
      <c r="A202" s="16"/>
      <c r="B202" s="74"/>
      <c r="C202" s="74"/>
      <c r="D202" s="74"/>
      <c r="E202" s="75"/>
      <c r="F202" s="80"/>
      <c r="G202" s="79">
        <v>43110</v>
      </c>
      <c r="H202" s="78" t="e">
        <f>H149+H111+H81+H71+H35+H22-H198-H199-H200</f>
        <v>#N/A</v>
      </c>
      <c r="I202" s="113"/>
      <c r="J202" s="9"/>
      <c r="K202" s="9"/>
      <c r="O202" s="119"/>
    </row>
    <row r="203" spans="1:16" s="41" customFormat="1">
      <c r="A203" s="16"/>
      <c r="B203" s="74"/>
      <c r="C203" s="74"/>
      <c r="D203" s="74"/>
      <c r="E203" s="81"/>
      <c r="F203" s="82"/>
      <c r="G203" s="79">
        <v>5135</v>
      </c>
      <c r="H203" s="78" t="e">
        <f>H196</f>
        <v>#N/A</v>
      </c>
      <c r="I203" s="113"/>
      <c r="J203" s="9"/>
      <c r="K203" s="9"/>
      <c r="O203" s="119"/>
    </row>
    <row r="204" spans="1:16" s="41" customFormat="1">
      <c r="A204" s="550" t="s">
        <v>275</v>
      </c>
      <c r="B204" s="551"/>
      <c r="C204" s="551"/>
      <c r="D204" s="552"/>
      <c r="E204" s="83" t="s">
        <v>22</v>
      </c>
      <c r="F204" s="84"/>
      <c r="G204" s="147"/>
      <c r="H204" s="85" t="e">
        <f>SUM(H198:H203)</f>
        <v>#N/A</v>
      </c>
      <c r="I204" s="123"/>
      <c r="L204" s="86"/>
      <c r="O204" s="119"/>
    </row>
    <row r="205" spans="1:16" s="41" customFormat="1">
      <c r="A205" s="612" t="s">
        <v>276</v>
      </c>
      <c r="B205" s="539"/>
      <c r="C205" s="539"/>
      <c r="D205" s="588"/>
      <c r="E205" s="87"/>
      <c r="F205" s="84" t="s">
        <v>315</v>
      </c>
      <c r="G205" s="114"/>
      <c r="H205" s="134">
        <f>IF(G205&gt;0,H204*G205,O196)</f>
        <v>0</v>
      </c>
      <c r="I205" s="123"/>
      <c r="O205" s="119"/>
    </row>
    <row r="206" spans="1:16" s="41" customFormat="1" ht="12.75" customHeight="1">
      <c r="A206" s="612" t="s">
        <v>277</v>
      </c>
      <c r="B206" s="539"/>
      <c r="C206" s="539"/>
      <c r="D206" s="588"/>
      <c r="E206" s="108"/>
      <c r="F206" s="109" t="s">
        <v>184</v>
      </c>
      <c r="G206" s="148"/>
      <c r="H206" s="110" t="e">
        <f>SUM(H204-H205)</f>
        <v>#N/A</v>
      </c>
      <c r="I206" s="123"/>
      <c r="O206" s="119"/>
    </row>
    <row r="207" spans="1:16" s="41" customFormat="1" ht="12.75" customHeight="1">
      <c r="A207" s="612" t="s">
        <v>317</v>
      </c>
      <c r="B207" s="539"/>
      <c r="C207" s="539"/>
      <c r="D207" s="588"/>
      <c r="E207" s="83"/>
      <c r="F207" s="88" t="s">
        <v>64</v>
      </c>
      <c r="G207" s="148"/>
      <c r="H207" s="90" t="e">
        <f>IF(H208&gt;0,0,IF(H204=0,0,IF(H204&lt;=10,2.5,IF(H204&lt;=30,5.95,IF(H204&lt;=50,6.95,IF(H204&lt;=70,8.25,IF(H204&lt;=100,9.25,IF(H204&lt;=200,10.95,15))))))))</f>
        <v>#N/A</v>
      </c>
      <c r="I207" s="123"/>
      <c r="O207" s="119"/>
    </row>
    <row r="208" spans="1:16" s="41" customFormat="1" ht="12.75" customHeight="1">
      <c r="A208" s="612" t="s">
        <v>278</v>
      </c>
      <c r="B208" s="539"/>
      <c r="C208" s="539"/>
      <c r="D208" s="588"/>
      <c r="E208" s="83"/>
      <c r="F208" s="84" t="s">
        <v>316</v>
      </c>
      <c r="G208" s="148"/>
      <c r="H208" s="111"/>
      <c r="I208" s="123"/>
      <c r="O208" s="119"/>
    </row>
    <row r="209" spans="1:15" s="41" customFormat="1">
      <c r="A209" s="587" t="s">
        <v>279</v>
      </c>
      <c r="B209" s="539"/>
      <c r="C209" s="539"/>
      <c r="D209" s="588"/>
      <c r="E209" s="127"/>
      <c r="F209" s="84" t="s">
        <v>274</v>
      </c>
      <c r="G209" s="613">
        <v>0</v>
      </c>
      <c r="H209" s="533"/>
      <c r="I209" s="124"/>
      <c r="J209" s="19"/>
      <c r="K209" s="19"/>
      <c r="O209" s="119"/>
    </row>
    <row r="210" spans="1:15" s="41" customFormat="1">
      <c r="A210" s="587" t="s">
        <v>280</v>
      </c>
      <c r="B210" s="539"/>
      <c r="C210" s="539"/>
      <c r="D210" s="588"/>
      <c r="E210" s="83"/>
      <c r="F210" s="88" t="s">
        <v>413</v>
      </c>
      <c r="G210" s="89"/>
      <c r="H210" s="94">
        <f>IF(G209&gt;0,0,IF(H9="fld",0,VLOOKUP(B9,#REF!:#REF!,2,FALSE)*SUM(H206:H208)))</f>
        <v>0</v>
      </c>
      <c r="I210" s="124"/>
      <c r="J210" s="19"/>
      <c r="K210" s="19"/>
      <c r="O210" s="119"/>
    </row>
    <row r="211" spans="1:15" s="41" customFormat="1">
      <c r="A211" s="589" t="s">
        <v>281</v>
      </c>
      <c r="B211" s="590"/>
      <c r="C211" s="590"/>
      <c r="D211" s="591"/>
      <c r="E211" s="91"/>
      <c r="F211" s="92" t="s">
        <v>86</v>
      </c>
      <c r="G211" s="93"/>
      <c r="H211" s="94" t="e">
        <f>SUM(H206:H210)</f>
        <v>#N/A</v>
      </c>
      <c r="I211" s="124"/>
      <c r="J211" s="19"/>
      <c r="K211" s="19"/>
      <c r="O211" s="119"/>
    </row>
    <row r="212" spans="1:15" s="41" customFormat="1">
      <c r="A212" s="95"/>
      <c r="B212" s="96"/>
      <c r="C212" s="96"/>
      <c r="D212" s="96"/>
      <c r="E212" s="10"/>
      <c r="F212" s="10"/>
      <c r="G212" s="10"/>
      <c r="H212" s="10"/>
      <c r="I212" s="124"/>
      <c r="J212" s="19"/>
      <c r="K212" s="19"/>
      <c r="O212" s="119"/>
    </row>
    <row r="213" spans="1:15">
      <c r="A213" s="577" t="s">
        <v>259</v>
      </c>
      <c r="B213" s="626"/>
      <c r="C213" s="626"/>
      <c r="D213" s="626"/>
      <c r="E213" s="626"/>
      <c r="F213" s="626"/>
      <c r="G213" s="626"/>
      <c r="H213" s="626"/>
    </row>
    <row r="214" spans="1:15">
      <c r="A214" s="577" t="s">
        <v>319</v>
      </c>
      <c r="B214" s="625"/>
      <c r="C214" s="625"/>
      <c r="D214" s="625"/>
      <c r="E214" s="625"/>
      <c r="F214" s="625"/>
      <c r="G214" s="625"/>
      <c r="H214" s="625"/>
    </row>
    <row r="215" spans="1:15">
      <c r="A215" s="577" t="s">
        <v>320</v>
      </c>
      <c r="B215" s="625"/>
      <c r="C215" s="625"/>
      <c r="D215" s="625"/>
      <c r="E215" s="625"/>
      <c r="F215" s="625"/>
      <c r="G215" s="625"/>
      <c r="H215" s="625"/>
    </row>
    <row r="216" spans="1:15">
      <c r="A216" s="97"/>
      <c r="B216" s="6"/>
      <c r="C216" s="6"/>
      <c r="D216" s="6"/>
      <c r="E216" s="6"/>
      <c r="F216" s="6"/>
      <c r="G216" s="6"/>
      <c r="H216" s="6"/>
    </row>
    <row r="217" spans="1:15" s="19" customFormat="1" ht="12.75" customHeight="1">
      <c r="A217" s="624" t="s">
        <v>143</v>
      </c>
      <c r="B217" s="624"/>
      <c r="C217" s="624"/>
      <c r="D217" s="624"/>
      <c r="E217" s="624"/>
      <c r="F217" s="624"/>
      <c r="G217" s="624"/>
      <c r="H217" s="624"/>
      <c r="I217" s="123"/>
      <c r="J217" s="41"/>
      <c r="K217" s="41"/>
      <c r="O217" s="117"/>
    </row>
    <row r="218" spans="1:15" s="41" customFormat="1">
      <c r="A218" s="624" t="s">
        <v>260</v>
      </c>
      <c r="B218" s="624"/>
      <c r="C218" s="624"/>
      <c r="D218" s="624"/>
      <c r="E218" s="624"/>
      <c r="F218" s="624"/>
      <c r="G218" s="624"/>
      <c r="H218" s="624"/>
      <c r="I218" s="123"/>
      <c r="O218" s="119"/>
    </row>
    <row r="219" spans="1:15" s="41" customFormat="1">
      <c r="A219" s="98"/>
      <c r="B219" s="98"/>
      <c r="C219" s="98"/>
      <c r="D219" s="98"/>
      <c r="E219" s="98"/>
      <c r="F219" s="98"/>
      <c r="G219" s="98"/>
      <c r="H219" s="98"/>
      <c r="I219" s="123"/>
      <c r="O219" s="119"/>
    </row>
    <row r="220" spans="1:15" s="41" customFormat="1">
      <c r="B220" s="97"/>
      <c r="C220" s="97"/>
      <c r="D220" s="97"/>
      <c r="E220" s="97"/>
      <c r="F220" s="97"/>
      <c r="G220" s="97"/>
      <c r="H220" s="97"/>
      <c r="I220" s="123"/>
      <c r="O220" s="119"/>
    </row>
  </sheetData>
  <sheetProtection password="C47C" sheet="1" objects="1" scenarios="1"/>
  <mergeCells count="23">
    <mergeCell ref="A218:H218"/>
    <mergeCell ref="A215:H215"/>
    <mergeCell ref="A217:H217"/>
    <mergeCell ref="A210:D210"/>
    <mergeCell ref="A211:D211"/>
    <mergeCell ref="A213:H213"/>
    <mergeCell ref="A214:H214"/>
    <mergeCell ref="A1:H1"/>
    <mergeCell ref="A2:H2"/>
    <mergeCell ref="C4:E4"/>
    <mergeCell ref="G4:H4"/>
    <mergeCell ref="A204:D204"/>
    <mergeCell ref="C5:E5"/>
    <mergeCell ref="B6:E6"/>
    <mergeCell ref="B7:F7"/>
    <mergeCell ref="B8:E8"/>
    <mergeCell ref="F8:G8"/>
    <mergeCell ref="A208:D208"/>
    <mergeCell ref="A209:D209"/>
    <mergeCell ref="G209:H209"/>
    <mergeCell ref="A205:D205"/>
    <mergeCell ref="A206:D206"/>
    <mergeCell ref="A207:D207"/>
  </mergeCells>
  <phoneticPr fontId="14" type="noConversion"/>
  <pageMargins left="0.75" right="0.75" top="1" bottom="1" header="0.5" footer="0.5"/>
  <pageSetup scale="94" orientation="portrait" r:id="rId1"/>
  <headerFooter alignWithMargins="0"/>
  <rowBreaks count="1" manualBreakCount="1">
    <brk id="112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workbookViewId="0">
      <selection activeCell="C7" sqref="C7"/>
    </sheetView>
  </sheetViews>
  <sheetFormatPr defaultRowHeight="12.75"/>
  <cols>
    <col min="2" max="2" width="9.140625" style="146" customWidth="1"/>
    <col min="4" max="4" width="6.42578125" customWidth="1"/>
    <col min="5" max="5" width="5.7109375" customWidth="1"/>
  </cols>
  <sheetData>
    <row r="1" spans="1:5">
      <c r="A1" t="s">
        <v>437</v>
      </c>
      <c r="B1" s="146" t="s">
        <v>438</v>
      </c>
      <c r="D1" s="625" t="s">
        <v>439</v>
      </c>
      <c r="E1" s="625"/>
    </row>
    <row r="2" spans="1:5">
      <c r="A2" t="s">
        <v>389</v>
      </c>
      <c r="B2" s="146">
        <v>0</v>
      </c>
    </row>
    <row r="3" spans="1:5">
      <c r="A3" t="s">
        <v>436</v>
      </c>
      <c r="B3" s="146">
        <v>0</v>
      </c>
    </row>
    <row r="4" spans="1:5">
      <c r="A4" t="s">
        <v>390</v>
      </c>
      <c r="B4" s="146">
        <v>0</v>
      </c>
    </row>
    <row r="5" spans="1:5">
      <c r="A5" t="s">
        <v>369</v>
      </c>
      <c r="B5" s="146">
        <v>0</v>
      </c>
    </row>
    <row r="6" spans="1:5">
      <c r="A6" t="s">
        <v>370</v>
      </c>
      <c r="B6" s="146">
        <v>0</v>
      </c>
    </row>
    <row r="7" spans="1:5">
      <c r="A7" t="s">
        <v>365</v>
      </c>
      <c r="B7" s="146">
        <v>7.3999999999999996E-2</v>
      </c>
    </row>
    <row r="8" spans="1:5">
      <c r="A8" t="s">
        <v>402</v>
      </c>
      <c r="B8" s="146">
        <v>0</v>
      </c>
    </row>
    <row r="9" spans="1:5">
      <c r="A9" t="s">
        <v>401</v>
      </c>
      <c r="B9" s="146">
        <v>0</v>
      </c>
    </row>
    <row r="10" spans="1:5">
      <c r="A10" t="s">
        <v>409</v>
      </c>
      <c r="B10" s="146">
        <v>0</v>
      </c>
    </row>
    <row r="11" spans="1:5">
      <c r="A11" t="s">
        <v>392</v>
      </c>
      <c r="B11" s="146">
        <v>0</v>
      </c>
    </row>
    <row r="12" spans="1:5">
      <c r="A12" t="s">
        <v>398</v>
      </c>
      <c r="B12" s="146">
        <v>0</v>
      </c>
    </row>
    <row r="13" spans="1:5">
      <c r="A13" t="s">
        <v>405</v>
      </c>
      <c r="B13" s="146">
        <v>0</v>
      </c>
    </row>
    <row r="14" spans="1:5">
      <c r="A14" t="s">
        <v>388</v>
      </c>
      <c r="B14" s="146">
        <v>0</v>
      </c>
    </row>
    <row r="15" spans="1:5">
      <c r="A15" t="s">
        <v>374</v>
      </c>
      <c r="B15" s="146">
        <v>0</v>
      </c>
    </row>
    <row r="16" spans="1:5">
      <c r="A16" t="s">
        <v>386</v>
      </c>
      <c r="B16" s="146">
        <v>0</v>
      </c>
    </row>
    <row r="17" spans="1:4">
      <c r="A17" t="s">
        <v>385</v>
      </c>
      <c r="B17" s="146">
        <v>0</v>
      </c>
    </row>
    <row r="18" spans="1:4">
      <c r="A18" t="s">
        <v>377</v>
      </c>
      <c r="B18" s="146">
        <v>0</v>
      </c>
    </row>
    <row r="19" spans="1:4">
      <c r="A19" t="s">
        <v>394</v>
      </c>
      <c r="B19" s="146">
        <v>0</v>
      </c>
    </row>
    <row r="20" spans="1:4">
      <c r="A20" t="s">
        <v>391</v>
      </c>
      <c r="B20" s="146">
        <v>0</v>
      </c>
    </row>
    <row r="21" spans="1:4">
      <c r="A21" t="s">
        <v>410</v>
      </c>
      <c r="B21" s="146">
        <v>0</v>
      </c>
    </row>
    <row r="22" spans="1:4">
      <c r="A22" t="s">
        <v>383</v>
      </c>
      <c r="B22" s="146">
        <v>0</v>
      </c>
    </row>
    <row r="23" spans="1:4">
      <c r="A23" t="s">
        <v>381</v>
      </c>
      <c r="B23" s="146">
        <f>D23+C23</f>
        <v>6.5000000000000002E-2</v>
      </c>
      <c r="C23" s="146">
        <v>6.5000000000000002E-2</v>
      </c>
      <c r="D23" s="178">
        <f>IF('mat order'!B10="Duluth",0.5%,IF('mat order'!B10="hermantown",0.5%,IF('mat order'!B10="Minneapolis",0.5%,IF('mat order'!B10="proctor",0.5%,IF('mat order'!B10="rochester",0.5%,IF('mat order'!B10="st. paul",0.5%,IF('mat order'!B10="two harbors",0.5%,IF('mat order'!B10="winona",0.5%,0))))))))</f>
        <v>0</v>
      </c>
    </row>
    <row r="24" spans="1:4">
      <c r="A24" t="s">
        <v>415</v>
      </c>
      <c r="B24" s="146">
        <v>0</v>
      </c>
    </row>
    <row r="25" spans="1:4">
      <c r="A25" t="s">
        <v>414</v>
      </c>
      <c r="B25" s="146">
        <v>0</v>
      </c>
    </row>
    <row r="26" spans="1:4">
      <c r="A26" t="s">
        <v>408</v>
      </c>
      <c r="B26" s="146">
        <v>0</v>
      </c>
    </row>
    <row r="27" spans="1:4">
      <c r="A27" t="s">
        <v>407</v>
      </c>
      <c r="B27" s="146">
        <v>0</v>
      </c>
    </row>
    <row r="28" spans="1:4">
      <c r="A28" t="s">
        <v>375</v>
      </c>
      <c r="B28" s="146">
        <v>0</v>
      </c>
    </row>
    <row r="29" spans="1:4">
      <c r="A29" t="s">
        <v>397</v>
      </c>
      <c r="B29" s="146">
        <v>0</v>
      </c>
    </row>
    <row r="30" spans="1:4">
      <c r="A30" t="s">
        <v>379</v>
      </c>
      <c r="B30" s="146">
        <v>0</v>
      </c>
    </row>
    <row r="31" spans="1:4">
      <c r="A31" t="s">
        <v>378</v>
      </c>
      <c r="B31" s="146">
        <v>0</v>
      </c>
    </row>
    <row r="32" spans="1:4">
      <c r="A32" t="s">
        <v>412</v>
      </c>
      <c r="B32" s="146">
        <v>0</v>
      </c>
    </row>
    <row r="33" spans="1:2">
      <c r="A33" t="s">
        <v>366</v>
      </c>
      <c r="B33" s="146">
        <v>0</v>
      </c>
    </row>
    <row r="34" spans="1:2">
      <c r="A34" t="s">
        <v>368</v>
      </c>
      <c r="B34" s="146">
        <v>0</v>
      </c>
    </row>
    <row r="35" spans="1:2">
      <c r="A35" t="s">
        <v>373</v>
      </c>
      <c r="B35" s="146">
        <v>0</v>
      </c>
    </row>
    <row r="36" spans="1:2">
      <c r="A36" t="s">
        <v>404</v>
      </c>
      <c r="B36" s="146">
        <v>0</v>
      </c>
    </row>
    <row r="37" spans="1:2">
      <c r="A37" t="s">
        <v>387</v>
      </c>
      <c r="B37" s="146">
        <v>0</v>
      </c>
    </row>
    <row r="38" spans="1:2">
      <c r="A38" t="s">
        <v>382</v>
      </c>
      <c r="B38" s="146">
        <v>0</v>
      </c>
    </row>
    <row r="39" spans="1:2">
      <c r="A39" t="s">
        <v>372</v>
      </c>
      <c r="B39" s="146">
        <v>0</v>
      </c>
    </row>
    <row r="40" spans="1:2">
      <c r="A40" t="s">
        <v>395</v>
      </c>
      <c r="B40" s="146">
        <v>0</v>
      </c>
    </row>
    <row r="41" spans="1:2">
      <c r="A41" t="s">
        <v>411</v>
      </c>
      <c r="B41" s="146">
        <v>0</v>
      </c>
    </row>
    <row r="42" spans="1:2">
      <c r="A42" t="s">
        <v>396</v>
      </c>
      <c r="B42" s="146">
        <v>0</v>
      </c>
    </row>
    <row r="43" spans="1:2">
      <c r="A43" t="s">
        <v>380</v>
      </c>
      <c r="B43" s="146">
        <v>0</v>
      </c>
    </row>
    <row r="44" spans="1:2">
      <c r="A44" t="s">
        <v>393</v>
      </c>
      <c r="B44" s="146">
        <v>0</v>
      </c>
    </row>
    <row r="45" spans="1:2">
      <c r="A45" t="s">
        <v>367</v>
      </c>
      <c r="B45" s="146">
        <v>0</v>
      </c>
    </row>
    <row r="46" spans="1:2">
      <c r="A46" t="s">
        <v>406</v>
      </c>
      <c r="B46" s="146">
        <v>0</v>
      </c>
    </row>
    <row r="47" spans="1:2">
      <c r="A47" t="s">
        <v>399</v>
      </c>
      <c r="B47" s="146">
        <v>0</v>
      </c>
    </row>
    <row r="48" spans="1:2">
      <c r="A48" t="s">
        <v>403</v>
      </c>
      <c r="B48" s="146">
        <v>0</v>
      </c>
    </row>
    <row r="49" spans="1:2">
      <c r="A49" t="s">
        <v>371</v>
      </c>
      <c r="B49" s="146">
        <v>0</v>
      </c>
    </row>
    <row r="50" spans="1:2">
      <c r="A50" t="s">
        <v>384</v>
      </c>
      <c r="B50" s="146">
        <v>0</v>
      </c>
    </row>
    <row r="51" spans="1:2">
      <c r="A51" t="s">
        <v>400</v>
      </c>
      <c r="B51" s="146">
        <v>0</v>
      </c>
    </row>
    <row r="52" spans="1:2">
      <c r="A52" t="s">
        <v>376</v>
      </c>
      <c r="B52" s="146">
        <v>0</v>
      </c>
    </row>
  </sheetData>
  <sheetProtection password="CCE4" sheet="1" objects="1" scenarios="1"/>
  <mergeCells count="1">
    <mergeCell ref="D1:E1"/>
  </mergeCells>
  <phoneticPr fontId="1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A20" sqref="A20"/>
    </sheetView>
  </sheetViews>
  <sheetFormatPr defaultRowHeight="12.75"/>
  <sheetData>
    <row r="1" spans="1:1">
      <c r="A1" s="35" t="s">
        <v>107</v>
      </c>
    </row>
    <row r="2" spans="1:1">
      <c r="A2" s="244" t="s">
        <v>517</v>
      </c>
    </row>
    <row r="3" spans="1:1">
      <c r="A3" s="35" t="s">
        <v>108</v>
      </c>
    </row>
    <row r="4" spans="1:1">
      <c r="A4" s="35" t="s">
        <v>109</v>
      </c>
    </row>
    <row r="5" spans="1:1">
      <c r="A5" s="35" t="s">
        <v>110</v>
      </c>
    </row>
    <row r="6" spans="1:1">
      <c r="A6" s="244" t="s">
        <v>520</v>
      </c>
    </row>
    <row r="7" spans="1:1">
      <c r="A7" s="35" t="s">
        <v>111</v>
      </c>
    </row>
    <row r="8" spans="1:1">
      <c r="A8" s="35" t="s">
        <v>112</v>
      </c>
    </row>
    <row r="9" spans="1:1">
      <c r="A9" s="35" t="s">
        <v>113</v>
      </c>
    </row>
    <row r="10" spans="1:1">
      <c r="A10" s="35" t="s">
        <v>115</v>
      </c>
    </row>
    <row r="11" spans="1:1">
      <c r="A11" s="35" t="s">
        <v>116</v>
      </c>
    </row>
    <row r="12" spans="1:1">
      <c r="A12" s="35" t="s">
        <v>117</v>
      </c>
    </row>
    <row r="13" spans="1:1">
      <c r="A13" s="35" t="s">
        <v>120</v>
      </c>
    </row>
    <row r="14" spans="1:1">
      <c r="A14" s="35" t="s">
        <v>121</v>
      </c>
    </row>
    <row r="15" spans="1:1">
      <c r="A15" s="35" t="s">
        <v>124</v>
      </c>
    </row>
    <row r="16" spans="1:1">
      <c r="A16" s="35" t="s">
        <v>125</v>
      </c>
    </row>
    <row r="17" spans="1:1">
      <c r="A17" s="35" t="s">
        <v>222</v>
      </c>
    </row>
    <row r="18" spans="1:1">
      <c r="A18" s="35" t="s">
        <v>235</v>
      </c>
    </row>
    <row r="19" spans="1:1">
      <c r="A19" s="35" t="s">
        <v>263</v>
      </c>
    </row>
    <row r="20" spans="1:1">
      <c r="A20" s="35" t="s">
        <v>283</v>
      </c>
    </row>
    <row r="21" spans="1:1">
      <c r="A21" s="35" t="s">
        <v>333</v>
      </c>
    </row>
    <row r="22" spans="1:1">
      <c r="A22" s="35" t="s">
        <v>335</v>
      </c>
    </row>
    <row r="23" spans="1:1">
      <c r="A23" s="35" t="s">
        <v>352</v>
      </c>
    </row>
    <row r="24" spans="1:1">
      <c r="A24" s="35" t="s">
        <v>473</v>
      </c>
    </row>
    <row r="25" spans="1:1">
      <c r="A25" s="35" t="s">
        <v>467</v>
      </c>
    </row>
    <row r="26" spans="1:1">
      <c r="A26" s="35" t="s">
        <v>468</v>
      </c>
    </row>
    <row r="27" spans="1:1">
      <c r="A27" s="35" t="s">
        <v>469</v>
      </c>
    </row>
    <row r="28" spans="1:1">
      <c r="A28" s="35" t="s">
        <v>471</v>
      </c>
    </row>
    <row r="29" spans="1:1">
      <c r="A29" s="35" t="s">
        <v>480</v>
      </c>
    </row>
    <row r="30" spans="1:1">
      <c r="A30" s="35" t="s">
        <v>483</v>
      </c>
    </row>
    <row r="31" spans="1:1">
      <c r="A31" s="35" t="s">
        <v>485</v>
      </c>
    </row>
    <row r="32" spans="1:1">
      <c r="A32" s="244" t="s">
        <v>524</v>
      </c>
    </row>
    <row r="33" spans="1:1">
      <c r="A33" s="244" t="s">
        <v>525</v>
      </c>
    </row>
    <row r="34" spans="1:1">
      <c r="A34" s="244" t="s">
        <v>526</v>
      </c>
    </row>
    <row r="35" spans="1:1">
      <c r="A35" s="244" t="s">
        <v>527</v>
      </c>
    </row>
    <row r="36" spans="1:1">
      <c r="A36" s="244" t="s">
        <v>528</v>
      </c>
    </row>
    <row r="37" spans="1:1">
      <c r="A37" s="35" t="s">
        <v>472</v>
      </c>
    </row>
    <row r="38" spans="1:1">
      <c r="A38" s="35" t="s">
        <v>474</v>
      </c>
    </row>
    <row r="39" spans="1:1">
      <c r="A39" s="35" t="s">
        <v>475</v>
      </c>
    </row>
    <row r="40" spans="1:1">
      <c r="A40" s="35"/>
    </row>
    <row r="41" spans="1:1" ht="15">
      <c r="A41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mat order</vt:lpstr>
      <vt:lpstr>RETAIL FORM</vt:lpstr>
      <vt:lpstr>New Empl</vt:lpstr>
      <vt:lpstr>price sheet</vt:lpstr>
      <vt:lpstr>goods returned</vt:lpstr>
      <vt:lpstr>Tax table</vt:lpstr>
      <vt:lpstr>Sheet1</vt:lpstr>
      <vt:lpstr>carriers</vt:lpstr>
      <vt:lpstr>'goods returned'!Print_Area</vt:lpstr>
      <vt:lpstr>'mat order'!Print_Area</vt:lpstr>
      <vt:lpstr>'New Empl'!Print_Area</vt:lpstr>
      <vt:lpstr>'RETAIL FORM'!Print_Area</vt:lpstr>
      <vt:lpstr>'mat order'!Print_Titles</vt:lpstr>
    </vt:vector>
  </TitlesOfParts>
  <Company>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Snyder</dc:creator>
  <cp:lastModifiedBy>Sheldon Jantz</cp:lastModifiedBy>
  <cp:lastPrinted>2019-02-14T16:21:29Z</cp:lastPrinted>
  <dcterms:created xsi:type="dcterms:W3CDTF">1999-05-17T20:28:16Z</dcterms:created>
  <dcterms:modified xsi:type="dcterms:W3CDTF">2019-02-14T16:35:23Z</dcterms:modified>
</cp:coreProperties>
</file>